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9705" yWindow="-15" windowWidth="9540" windowHeight="11760" activeTab="4"/>
  </bookViews>
  <sheets>
    <sheet name="PORTADA " sheetId="8" r:id="rId1"/>
    <sheet name="VAR INTERMENSUAL-INTERANUAL" sheetId="4" r:id="rId2"/>
    <sheet name="PARO POR SECTORES" sheetId="2" r:id="rId3"/>
    <sheet name="PARO SEXO" sheetId="1" r:id="rId4"/>
    <sheet name="PARO EDAD" sheetId="5" r:id="rId5"/>
    <sheet name="RESUMEN" sheetId="3" r:id="rId6"/>
  </sheets>
  <definedNames>
    <definedName name="ABSANUAL">'VAR INTERMENSUAL-INTERANUAL'!$I$5:$I$49</definedName>
    <definedName name="ABSMENSUAL">'VAR INTERMENSUAL-INTERANUAL'!$G$5:$G$49</definedName>
    <definedName name="AGRI.ABS">'PARO POR SECTORES'!$M$5:$M$49</definedName>
    <definedName name="AGRI.REV">'PARO POR SECTORES'!$R$5:$R$49</definedName>
    <definedName name="AÑO.ANT">'VAR INTERMENSUAL-INTERANUAL'!$L$2</definedName>
    <definedName name="_xlnm.Print_Area" localSheetId="4">'PARO EDAD'!$A$1:$N$50</definedName>
    <definedName name="_xlnm.Print_Area" localSheetId="2">'PARO POR SECTORES'!$A$1:$V$50</definedName>
    <definedName name="_xlnm.Print_Area" localSheetId="3">'PARO SEXO'!$A$1:$P$51</definedName>
    <definedName name="_xlnm.Print_Area" localSheetId="0">'PORTADA '!$A$1:$G$76</definedName>
    <definedName name="_xlnm.Print_Area" localSheetId="5">RESUMEN!$A$1:$I$187</definedName>
    <definedName name="_xlnm.Print_Area" localSheetId="1">'VAR INTERMENSUAL-INTERANUAL'!$B$1:$J$50</definedName>
    <definedName name="COMARCAS">'VAR INTERMENSUAL-INTERANUAL'!$A$5:$A$49</definedName>
    <definedName name="CONSTR.ABS">'PARO POR SECTORES'!$O$5:$O$49</definedName>
    <definedName name="CONSTR.REV">'PARO POR SECTORES'!$T$5:$T$49</definedName>
    <definedName name="ENTRE25.44.ABS">'PARO EDAD'!$J$5:$J$49</definedName>
    <definedName name="ENTRE25.44.REV">'PARO EDAD'!$M$5:$M$49</definedName>
    <definedName name="FECHA.ACT">'VAR INTERMENSUAL-INTERANUAL'!$I$2</definedName>
    <definedName name="HOMBRES.ABS">'PARO SEXO'!$M$6:$M$50</definedName>
    <definedName name="HOMBRES.REV">'PARO SEXO'!$O$6:$O$50</definedName>
    <definedName name="INDUS.ABS">'PARO POR SECTORES'!$N$5:$N$49</definedName>
    <definedName name="INDUS.REV">'PARO POR SECTORES'!$S$5:$S$49</definedName>
    <definedName name="MATRIZ">'VAR INTERMENSUAL-INTERANUAL'!$B$5:$J$49</definedName>
    <definedName name="MAYOR45.ABS">'PARO EDAD'!$K$5:$K$49</definedName>
    <definedName name="MAYOR45.REV">'PARO EDAD'!$N$5:$N$49</definedName>
    <definedName name="MENOR25.REV">'PARO EDAD'!$L$5:$L$49</definedName>
    <definedName name="MENOS25.ABS">'PARO EDAD'!$I$5:$I$49</definedName>
    <definedName name="MES.ANT">'VAR INTERMENSUAL-INTERANUAL'!$K$2</definedName>
    <definedName name="MESANTERIOR">'VAR INTERMENSUAL-INTERANUAL'!$D$5:$D$49</definedName>
    <definedName name="MESAÑOANTERIOR">'VAR INTERMENSUAL-INTERANUAL'!$F$5:$F$49</definedName>
    <definedName name="MUJERES.ABS">'PARO SEXO'!$N$6:$N$50</definedName>
    <definedName name="MUJERES.REV">'PARO SEXO'!$P$6:$P$50</definedName>
    <definedName name="MUNICIP.EDAD">'PARO EDAD'!$A$5:$A$49</definedName>
    <definedName name="MUNICIP.SECT">'PARO POR SECTORES'!$A$5:$A$49</definedName>
    <definedName name="MUNICIP.SEXO">'PARO SEXO'!$A$6:$A$50</definedName>
    <definedName name="MUNICIPIOS">'VAR INTERMENSUAL-INTERANUAL'!$B$5:$B$49</definedName>
    <definedName name="POBACTUAL">'VAR INTERMENSUAL-INTERANUAL'!$E$5:$E$49</definedName>
    <definedName name="PRIMUNICIP">'VAR INTERMENSUAL-INTERANUAL'!$B$5</definedName>
    <definedName name="RANGO.EDAD">'PARO EDAD'!$B$5:$B$49</definedName>
    <definedName name="RANGO.SEXO">'PARO SEXO'!$B$6:$B$50</definedName>
    <definedName name="RANGOS">'VAR INTERMENSUAL-INTERANUAL'!$C$5:$C$49</definedName>
    <definedName name="RANGOS.SECT">'PARO POR SECTORES'!$B$5:$B$49</definedName>
    <definedName name="RELATANUAL">'VAR INTERMENSUAL-INTERANUAL'!$J$5:$J$49</definedName>
    <definedName name="RELATMENSUAL">'VAR INTERMENSUAL-INTERANUAL'!$H$5:$H$49</definedName>
    <definedName name="SEA.ABS">'PARO POR SECTORES'!$Q$5:$Q$49</definedName>
    <definedName name="SEA.REV">'PARO POR SECTORES'!$V$5:$V$49</definedName>
    <definedName name="SERVI.ABS">'PARO POR SECTORES'!$P$5:$P$49</definedName>
    <definedName name="SERVI.REV">'PARO POR SECTORES'!$U$5:$U$49</definedName>
    <definedName name="_xlnm.Print_Titles" localSheetId="5">RESUMEN!$1:$1</definedName>
  </definedNames>
  <calcPr calcId="125725"/>
</workbook>
</file>

<file path=xl/calcChain.xml><?xml version="1.0" encoding="utf-8"?>
<calcChain xmlns="http://schemas.openxmlformats.org/spreadsheetml/2006/main">
  <c r="J40" i="1"/>
  <c r="F40"/>
  <c r="K182" i="3" l="1"/>
  <c r="I39" i="5"/>
  <c r="L39" s="1"/>
  <c r="J39"/>
  <c r="M39" s="1"/>
  <c r="K39"/>
  <c r="N39" s="1"/>
  <c r="N40" i="1"/>
  <c r="P40" s="1"/>
  <c r="M40"/>
  <c r="O40" s="1"/>
  <c r="M39" i="2"/>
  <c r="R39" s="1"/>
  <c r="N39"/>
  <c r="S39" s="1"/>
  <c r="O39"/>
  <c r="T39" s="1"/>
  <c r="P39"/>
  <c r="U39" s="1"/>
  <c r="Q39"/>
  <c r="V39" s="1"/>
  <c r="J39" i="4" l="1"/>
  <c r="I39"/>
  <c r="H39"/>
  <c r="G39"/>
  <c r="E50" i="8" l="1"/>
  <c r="H167" i="3" l="1"/>
  <c r="H168"/>
  <c r="H170"/>
  <c r="H171"/>
  <c r="H173"/>
  <c r="H174"/>
  <c r="H156"/>
  <c r="H157"/>
  <c r="H159"/>
  <c r="H160"/>
  <c r="H162"/>
  <c r="H163"/>
  <c r="H145"/>
  <c r="H146"/>
  <c r="H148"/>
  <c r="H149"/>
  <c r="H151"/>
  <c r="H152"/>
  <c r="H125"/>
  <c r="H126"/>
  <c r="H128"/>
  <c r="H129"/>
  <c r="H131"/>
  <c r="H132"/>
  <c r="H114"/>
  <c r="H115"/>
  <c r="H117"/>
  <c r="H118"/>
  <c r="H120"/>
  <c r="H121"/>
  <c r="H95"/>
  <c r="H96"/>
  <c r="H98"/>
  <c r="H99"/>
  <c r="H101"/>
  <c r="H102"/>
  <c r="H84"/>
  <c r="H85"/>
  <c r="H87"/>
  <c r="H88"/>
  <c r="H90"/>
  <c r="H91"/>
  <c r="H73"/>
  <c r="H74"/>
  <c r="H76"/>
  <c r="H77"/>
  <c r="H79"/>
  <c r="H80"/>
  <c r="H62"/>
  <c r="H63"/>
  <c r="H65"/>
  <c r="H66"/>
  <c r="H68"/>
  <c r="H69"/>
  <c r="H51"/>
  <c r="H52"/>
  <c r="H54"/>
  <c r="H55"/>
  <c r="H57"/>
  <c r="H58"/>
  <c r="F167"/>
  <c r="F168"/>
  <c r="F170"/>
  <c r="F171"/>
  <c r="F173"/>
  <c r="F174"/>
  <c r="F156"/>
  <c r="F157"/>
  <c r="F159"/>
  <c r="F160"/>
  <c r="F162"/>
  <c r="F163"/>
  <c r="F145"/>
  <c r="F146"/>
  <c r="F148"/>
  <c r="F149"/>
  <c r="F151"/>
  <c r="F152"/>
  <c r="F125"/>
  <c r="F126"/>
  <c r="F128"/>
  <c r="F129"/>
  <c r="F131"/>
  <c r="F132"/>
  <c r="F114"/>
  <c r="F115"/>
  <c r="F117"/>
  <c r="F118"/>
  <c r="F120"/>
  <c r="F121"/>
  <c r="F95"/>
  <c r="F96"/>
  <c r="F98"/>
  <c r="F99"/>
  <c r="F101"/>
  <c r="F102"/>
  <c r="F84"/>
  <c r="F85"/>
  <c r="F87"/>
  <c r="F88"/>
  <c r="F90"/>
  <c r="F91"/>
  <c r="F73"/>
  <c r="F74"/>
  <c r="F76"/>
  <c r="F77"/>
  <c r="F79"/>
  <c r="F80"/>
  <c r="F62"/>
  <c r="F63"/>
  <c r="F65"/>
  <c r="F66"/>
  <c r="F68"/>
  <c r="F69"/>
  <c r="F51"/>
  <c r="F52"/>
  <c r="F54"/>
  <c r="F55"/>
  <c r="F57"/>
  <c r="F58"/>
  <c r="D167"/>
  <c r="D168"/>
  <c r="D170"/>
  <c r="D171"/>
  <c r="D173"/>
  <c r="D174"/>
  <c r="D156"/>
  <c r="D157"/>
  <c r="D159"/>
  <c r="D160"/>
  <c r="D162"/>
  <c r="D163"/>
  <c r="D145"/>
  <c r="D146"/>
  <c r="D148"/>
  <c r="D149"/>
  <c r="D151"/>
  <c r="D152"/>
  <c r="D125"/>
  <c r="D126"/>
  <c r="D128"/>
  <c r="D129"/>
  <c r="D131"/>
  <c r="D132"/>
  <c r="D114"/>
  <c r="D115"/>
  <c r="D117"/>
  <c r="D118"/>
  <c r="D120"/>
  <c r="D121"/>
  <c r="D95"/>
  <c r="D96"/>
  <c r="D98"/>
  <c r="D99"/>
  <c r="D101"/>
  <c r="D102"/>
  <c r="D84"/>
  <c r="D85"/>
  <c r="D87"/>
  <c r="D88"/>
  <c r="D90"/>
  <c r="D91"/>
  <c r="D73"/>
  <c r="D74"/>
  <c r="D76"/>
  <c r="D77"/>
  <c r="D79"/>
  <c r="D80"/>
  <c r="D62"/>
  <c r="D63"/>
  <c r="D65"/>
  <c r="D66"/>
  <c r="D68"/>
  <c r="D69"/>
  <c r="D51"/>
  <c r="D52"/>
  <c r="D54"/>
  <c r="D55"/>
  <c r="D57"/>
  <c r="D58"/>
  <c r="B167"/>
  <c r="B168"/>
  <c r="B170"/>
  <c r="B171"/>
  <c r="B173"/>
  <c r="B174"/>
  <c r="B156"/>
  <c r="B157"/>
  <c r="B159"/>
  <c r="B160"/>
  <c r="B162"/>
  <c r="B163"/>
  <c r="B145"/>
  <c r="B146"/>
  <c r="B148"/>
  <c r="B149"/>
  <c r="B151"/>
  <c r="B152"/>
  <c r="B125"/>
  <c r="B126"/>
  <c r="B128"/>
  <c r="B129"/>
  <c r="B131"/>
  <c r="B132"/>
  <c r="B114"/>
  <c r="B115"/>
  <c r="B117"/>
  <c r="B118"/>
  <c r="B120"/>
  <c r="B121"/>
  <c r="B95"/>
  <c r="B96"/>
  <c r="B98"/>
  <c r="B99"/>
  <c r="B101"/>
  <c r="B102"/>
  <c r="B84"/>
  <c r="B85"/>
  <c r="B87"/>
  <c r="B88"/>
  <c r="B90"/>
  <c r="B91"/>
  <c r="B73"/>
  <c r="B74"/>
  <c r="B76"/>
  <c r="B77"/>
  <c r="B62"/>
  <c r="B63"/>
  <c r="B65"/>
  <c r="B66"/>
  <c r="B68"/>
  <c r="B69"/>
  <c r="B51"/>
  <c r="B52"/>
  <c r="B54"/>
  <c r="B55"/>
  <c r="B57"/>
  <c r="B58"/>
  <c r="H28"/>
  <c r="H29"/>
  <c r="H31"/>
  <c r="H32"/>
  <c r="H34"/>
  <c r="H35"/>
  <c r="F28"/>
  <c r="F29"/>
  <c r="F31"/>
  <c r="F32"/>
  <c r="F34"/>
  <c r="F35"/>
  <c r="D28"/>
  <c r="D29"/>
  <c r="D31"/>
  <c r="D32"/>
  <c r="D34"/>
  <c r="D35"/>
  <c r="B28"/>
  <c r="B29"/>
  <c r="B31"/>
  <c r="B32"/>
  <c r="B34"/>
  <c r="B35"/>
  <c r="J49" i="4" l="1"/>
  <c r="J48"/>
  <c r="J47"/>
  <c r="J46"/>
  <c r="J45"/>
  <c r="J44"/>
  <c r="J43"/>
  <c r="J42"/>
  <c r="J41"/>
  <c r="J40"/>
  <c r="J38"/>
  <c r="J37"/>
  <c r="J36"/>
  <c r="J35"/>
  <c r="J34"/>
  <c r="J33"/>
  <c r="J32"/>
  <c r="J31"/>
  <c r="J30"/>
  <c r="J29"/>
  <c r="J28"/>
  <c r="J27"/>
  <c r="J26"/>
  <c r="J25"/>
  <c r="J24"/>
  <c r="J23"/>
  <c r="J22"/>
  <c r="J21"/>
  <c r="J20"/>
  <c r="J19"/>
  <c r="J18"/>
  <c r="J17"/>
  <c r="J16"/>
  <c r="J15"/>
  <c r="J14"/>
  <c r="J13"/>
  <c r="J12"/>
  <c r="J11"/>
  <c r="J10"/>
  <c r="J9"/>
  <c r="J8"/>
  <c r="J7"/>
  <c r="J6"/>
  <c r="J5"/>
  <c r="H5"/>
  <c r="H6"/>
  <c r="H7"/>
  <c r="H8"/>
  <c r="H9"/>
  <c r="H10"/>
  <c r="H11"/>
  <c r="H12"/>
  <c r="H13"/>
  <c r="H14"/>
  <c r="H15"/>
  <c r="H16"/>
  <c r="H17"/>
  <c r="H18"/>
  <c r="H19"/>
  <c r="H20"/>
  <c r="H21"/>
  <c r="H22"/>
  <c r="H23"/>
  <c r="H24"/>
  <c r="H25"/>
  <c r="H26"/>
  <c r="H27"/>
  <c r="H28"/>
  <c r="H29"/>
  <c r="H30"/>
  <c r="H31"/>
  <c r="H32"/>
  <c r="H33"/>
  <c r="H34"/>
  <c r="H35"/>
  <c r="H36"/>
  <c r="H37"/>
  <c r="H38"/>
  <c r="H40"/>
  <c r="H41"/>
  <c r="H42"/>
  <c r="H43"/>
  <c r="H44"/>
  <c r="H45"/>
  <c r="H46"/>
  <c r="H47"/>
  <c r="H48"/>
  <c r="H49"/>
  <c r="E2" i="8"/>
  <c r="Q35" i="3" l="1" a="1"/>
  <c r="Q35" s="1"/>
  <c r="O34" a="1"/>
  <c r="O34" s="1"/>
  <c r="O33" a="1"/>
  <c r="O33" s="1"/>
  <c r="Q32" a="1"/>
  <c r="Q32" s="1"/>
  <c r="O31" a="1"/>
  <c r="O31" s="1"/>
  <c r="O30" a="1"/>
  <c r="O30" s="1"/>
  <c r="Q29" a="1"/>
  <c r="Q29" s="1"/>
  <c r="O28" a="1"/>
  <c r="O28" s="1"/>
  <c r="O27" a="1"/>
  <c r="O27" s="1"/>
  <c r="Q34" a="1"/>
  <c r="Q34" s="1"/>
  <c r="Q33" a="1"/>
  <c r="Q33" s="1"/>
  <c r="O35" a="1"/>
  <c r="O35" s="1"/>
  <c r="Q31" a="1"/>
  <c r="Q31" s="1"/>
  <c r="Q30" a="1"/>
  <c r="Q30" s="1"/>
  <c r="O32" a="1"/>
  <c r="O32" s="1"/>
  <c r="Q28" a="1"/>
  <c r="Q28" s="1"/>
  <c r="Q27" a="1"/>
  <c r="Q27" s="1"/>
  <c r="O29" a="1"/>
  <c r="O29" s="1"/>
  <c r="P13" a="1"/>
  <c r="P13" s="1"/>
  <c r="H13" s="1"/>
  <c r="Q17" a="1"/>
  <c r="Q17" s="1"/>
  <c r="Q16" a="1"/>
  <c r="Q16" s="1"/>
  <c r="O18" a="1"/>
  <c r="O18" s="1"/>
  <c r="Q14" a="1"/>
  <c r="Q14" s="1"/>
  <c r="Q13" a="1"/>
  <c r="Q13" s="1"/>
  <c r="O15" a="1"/>
  <c r="O15" s="1"/>
  <c r="Q11" a="1"/>
  <c r="Q11" s="1"/>
  <c r="Q10" a="1"/>
  <c r="Q10" s="1"/>
  <c r="O12" a="1"/>
  <c r="O12" s="1"/>
  <c r="Q18" a="1"/>
  <c r="Q18" s="1"/>
  <c r="O17" a="1"/>
  <c r="O17" s="1"/>
  <c r="O16" a="1"/>
  <c r="O16" s="1"/>
  <c r="Q15" a="1"/>
  <c r="Q15" s="1"/>
  <c r="O14" a="1"/>
  <c r="O14" s="1"/>
  <c r="O13" a="1"/>
  <c r="O13" s="1"/>
  <c r="Q12" a="1"/>
  <c r="Q12" s="1"/>
  <c r="O11" a="1"/>
  <c r="O11" s="1"/>
  <c r="O10" a="1"/>
  <c r="O10" s="1"/>
  <c r="N13" a="1"/>
  <c r="N13" s="1"/>
  <c r="P10" a="1"/>
  <c r="P10" s="1"/>
  <c r="P16" a="1"/>
  <c r="P16" s="1"/>
  <c r="P30" a="1"/>
  <c r="P30" s="1"/>
  <c r="N33" a="1"/>
  <c r="N33" s="1"/>
  <c r="N27" a="1"/>
  <c r="N27" s="1"/>
  <c r="P33" a="1"/>
  <c r="P33" s="1"/>
  <c r="P27" a="1"/>
  <c r="P27" s="1"/>
  <c r="N30" a="1"/>
  <c r="N30" s="1"/>
  <c r="N10" a="1"/>
  <c r="N10" s="1"/>
  <c r="N16" a="1"/>
  <c r="N16" s="1"/>
  <c r="A176"/>
  <c r="K184"/>
  <c r="K183"/>
  <c r="K181"/>
  <c r="K180"/>
  <c r="I14" l="1"/>
  <c r="I15"/>
  <c r="I13"/>
  <c r="G10"/>
  <c r="G12"/>
  <c r="G11"/>
  <c r="F10"/>
  <c r="G31"/>
  <c r="G32"/>
  <c r="G30"/>
  <c r="F30"/>
  <c r="I34"/>
  <c r="I35"/>
  <c r="I33"/>
  <c r="H33"/>
  <c r="G34"/>
  <c r="G33"/>
  <c r="G35"/>
  <c r="F33"/>
  <c r="I17"/>
  <c r="I16"/>
  <c r="I18"/>
  <c r="H16"/>
  <c r="G14"/>
  <c r="G13"/>
  <c r="G15"/>
  <c r="F13"/>
  <c r="G17"/>
  <c r="G18"/>
  <c r="G16"/>
  <c r="F16"/>
  <c r="I28"/>
  <c r="I27"/>
  <c r="I29"/>
  <c r="H27"/>
  <c r="G28"/>
  <c r="G27"/>
  <c r="G29"/>
  <c r="F27"/>
  <c r="I31"/>
  <c r="I30"/>
  <c r="I32"/>
  <c r="H30"/>
  <c r="I11"/>
  <c r="I10"/>
  <c r="I12"/>
  <c r="H10"/>
  <c r="I1"/>
  <c r="E4" i="4" l="1"/>
  <c r="K51" i="1" l="1"/>
  <c r="L51"/>
  <c r="L1" i="3" l="1"/>
  <c r="L2" s="1"/>
  <c r="M2" i="5"/>
  <c r="O2" i="1"/>
  <c r="G3" s="1"/>
  <c r="T2" i="2"/>
  <c r="K1" i="3" l="1"/>
  <c r="K2" s="1"/>
  <c r="J2"/>
  <c r="Q2" i="1"/>
  <c r="K4" s="1"/>
  <c r="D3" i="5"/>
  <c r="O2"/>
  <c r="G3" s="1"/>
  <c r="K6"/>
  <c r="N6" s="1"/>
  <c r="K7"/>
  <c r="N7" s="1"/>
  <c r="K8"/>
  <c r="N8" s="1"/>
  <c r="K9"/>
  <c r="N9" s="1"/>
  <c r="K10"/>
  <c r="N10" s="1"/>
  <c r="K11"/>
  <c r="N11" s="1"/>
  <c r="K12"/>
  <c r="N12" s="1"/>
  <c r="K13"/>
  <c r="N13" s="1"/>
  <c r="K14"/>
  <c r="N14" s="1"/>
  <c r="K15"/>
  <c r="N15" s="1"/>
  <c r="K16"/>
  <c r="N16" s="1"/>
  <c r="K17"/>
  <c r="N17" s="1"/>
  <c r="K18"/>
  <c r="N18" s="1"/>
  <c r="K19"/>
  <c r="N19" s="1"/>
  <c r="K20"/>
  <c r="N20" s="1"/>
  <c r="K21"/>
  <c r="N21" s="1"/>
  <c r="K22"/>
  <c r="N22" s="1"/>
  <c r="K23"/>
  <c r="N23" s="1"/>
  <c r="K24"/>
  <c r="N24" s="1"/>
  <c r="K25"/>
  <c r="N25" s="1"/>
  <c r="K26"/>
  <c r="N26" s="1"/>
  <c r="K27"/>
  <c r="N27" s="1"/>
  <c r="K28"/>
  <c r="N28" s="1"/>
  <c r="K29"/>
  <c r="N29" s="1"/>
  <c r="K30"/>
  <c r="N30" s="1"/>
  <c r="K31"/>
  <c r="N31" s="1"/>
  <c r="K32"/>
  <c r="N32" s="1"/>
  <c r="K33"/>
  <c r="N33" s="1"/>
  <c r="K34"/>
  <c r="N34" s="1"/>
  <c r="K35"/>
  <c r="N35" s="1"/>
  <c r="K36"/>
  <c r="N36" s="1"/>
  <c r="K37"/>
  <c r="N37" s="1"/>
  <c r="K38"/>
  <c r="N38" s="1"/>
  <c r="K40"/>
  <c r="N40" s="1"/>
  <c r="K41"/>
  <c r="N41" s="1"/>
  <c r="K42"/>
  <c r="N42" s="1"/>
  <c r="K43"/>
  <c r="N43" s="1"/>
  <c r="K44"/>
  <c r="N44" s="1"/>
  <c r="K45"/>
  <c r="N45" s="1"/>
  <c r="K46"/>
  <c r="N46" s="1"/>
  <c r="K47"/>
  <c r="N47" s="1"/>
  <c r="K48"/>
  <c r="N48" s="1"/>
  <c r="K49"/>
  <c r="N49" s="1"/>
  <c r="J6"/>
  <c r="M6" s="1"/>
  <c r="J7"/>
  <c r="M7" s="1"/>
  <c r="J8"/>
  <c r="J9"/>
  <c r="M9" s="1"/>
  <c r="J10"/>
  <c r="M10" s="1"/>
  <c r="J11"/>
  <c r="M11" s="1"/>
  <c r="J12"/>
  <c r="M12" s="1"/>
  <c r="J13"/>
  <c r="M13" s="1"/>
  <c r="J14"/>
  <c r="M14" s="1"/>
  <c r="J15"/>
  <c r="M15" s="1"/>
  <c r="J16"/>
  <c r="M16" s="1"/>
  <c r="J17"/>
  <c r="M17" s="1"/>
  <c r="J18"/>
  <c r="M18" s="1"/>
  <c r="J19"/>
  <c r="M19" s="1"/>
  <c r="J20"/>
  <c r="M20" s="1"/>
  <c r="J21"/>
  <c r="M21" s="1"/>
  <c r="J22"/>
  <c r="M22" s="1"/>
  <c r="J23"/>
  <c r="M23" s="1"/>
  <c r="J24"/>
  <c r="M24" s="1"/>
  <c r="J25"/>
  <c r="M25" s="1"/>
  <c r="J26"/>
  <c r="M26" s="1"/>
  <c r="J27"/>
  <c r="M27" s="1"/>
  <c r="J28"/>
  <c r="M28" s="1"/>
  <c r="J29"/>
  <c r="M29" s="1"/>
  <c r="J30"/>
  <c r="M30" s="1"/>
  <c r="J31"/>
  <c r="M31" s="1"/>
  <c r="J32"/>
  <c r="M32" s="1"/>
  <c r="J33"/>
  <c r="M33" s="1"/>
  <c r="J34"/>
  <c r="M34" s="1"/>
  <c r="J35"/>
  <c r="M35" s="1"/>
  <c r="J36"/>
  <c r="M36" s="1"/>
  <c r="J37"/>
  <c r="M37" s="1"/>
  <c r="J38"/>
  <c r="M38" s="1"/>
  <c r="J40"/>
  <c r="M40" s="1"/>
  <c r="J41"/>
  <c r="M41" s="1"/>
  <c r="J42"/>
  <c r="M42" s="1"/>
  <c r="J43"/>
  <c r="M43" s="1"/>
  <c r="J44"/>
  <c r="M44" s="1"/>
  <c r="J45"/>
  <c r="M45" s="1"/>
  <c r="J46"/>
  <c r="M46" s="1"/>
  <c r="J47"/>
  <c r="M47" s="1"/>
  <c r="J48"/>
  <c r="M48" s="1"/>
  <c r="J49"/>
  <c r="M49" s="1"/>
  <c r="K5"/>
  <c r="J5"/>
  <c r="I6"/>
  <c r="L6" s="1"/>
  <c r="I7"/>
  <c r="L7" s="1"/>
  <c r="I8"/>
  <c r="L8" s="1"/>
  <c r="I9"/>
  <c r="L9" s="1"/>
  <c r="I10"/>
  <c r="L10" s="1"/>
  <c r="I11"/>
  <c r="L11" s="1"/>
  <c r="I12"/>
  <c r="L12" s="1"/>
  <c r="I13"/>
  <c r="L13" s="1"/>
  <c r="I14"/>
  <c r="L14" s="1"/>
  <c r="I15"/>
  <c r="L15" s="1"/>
  <c r="I16"/>
  <c r="L16" s="1"/>
  <c r="I17"/>
  <c r="L17" s="1"/>
  <c r="I18"/>
  <c r="L18" s="1"/>
  <c r="I19"/>
  <c r="L19" s="1"/>
  <c r="I20"/>
  <c r="L20" s="1"/>
  <c r="I21"/>
  <c r="L21" s="1"/>
  <c r="I22"/>
  <c r="L22" s="1"/>
  <c r="I23"/>
  <c r="L23" s="1"/>
  <c r="I24"/>
  <c r="L24" s="1"/>
  <c r="I25"/>
  <c r="L25" s="1"/>
  <c r="I26"/>
  <c r="L26" s="1"/>
  <c r="I27"/>
  <c r="L27" s="1"/>
  <c r="I28"/>
  <c r="L28" s="1"/>
  <c r="I29"/>
  <c r="L29" s="1"/>
  <c r="I30"/>
  <c r="L30" s="1"/>
  <c r="I31"/>
  <c r="L31" s="1"/>
  <c r="I32"/>
  <c r="L32" s="1"/>
  <c r="I33"/>
  <c r="L33" s="1"/>
  <c r="I34"/>
  <c r="L34" s="1"/>
  <c r="I35"/>
  <c r="L35" s="1"/>
  <c r="I36"/>
  <c r="L36" s="1"/>
  <c r="I37"/>
  <c r="L37" s="1"/>
  <c r="I38"/>
  <c r="L38" s="1"/>
  <c r="I40"/>
  <c r="L40" s="1"/>
  <c r="I41"/>
  <c r="L41" s="1"/>
  <c r="I42"/>
  <c r="L42" s="1"/>
  <c r="I43"/>
  <c r="L43" s="1"/>
  <c r="I44"/>
  <c r="L44" s="1"/>
  <c r="I45"/>
  <c r="L45" s="1"/>
  <c r="I46"/>
  <c r="L46" s="1"/>
  <c r="I47"/>
  <c r="L47" s="1"/>
  <c r="I48"/>
  <c r="L48" s="1"/>
  <c r="I49"/>
  <c r="L49" s="1"/>
  <c r="I5"/>
  <c r="G50"/>
  <c r="H50"/>
  <c r="F50"/>
  <c r="E50"/>
  <c r="D50"/>
  <c r="C50"/>
  <c r="M173" i="3" l="1" a="1"/>
  <c r="M173" s="1"/>
  <c r="M172" a="1"/>
  <c r="M172" s="1"/>
  <c r="K174" a="1"/>
  <c r="K174" s="1"/>
  <c r="M171" a="1"/>
  <c r="M171" s="1"/>
  <c r="K170" a="1"/>
  <c r="K170" s="1"/>
  <c r="K169" a="1"/>
  <c r="K169" s="1"/>
  <c r="M168" a="1"/>
  <c r="M168" s="1"/>
  <c r="K167" a="1"/>
  <c r="K167" s="1"/>
  <c r="K166" a="1"/>
  <c r="K166" s="1"/>
  <c r="M174" a="1"/>
  <c r="M174" s="1"/>
  <c r="K173" a="1"/>
  <c r="K173" s="1"/>
  <c r="K172" a="1"/>
  <c r="K172" s="1"/>
  <c r="M170" a="1"/>
  <c r="M170" s="1"/>
  <c r="M169" a="1"/>
  <c r="M169" s="1"/>
  <c r="K171" a="1"/>
  <c r="K171" s="1"/>
  <c r="M167" a="1"/>
  <c r="M167" s="1"/>
  <c r="M166" a="1"/>
  <c r="M166" s="1"/>
  <c r="K168" a="1"/>
  <c r="K168" s="1"/>
  <c r="M152" a="1"/>
  <c r="M152" s="1"/>
  <c r="K151" a="1"/>
  <c r="K151" s="1"/>
  <c r="K150" a="1"/>
  <c r="K150" s="1"/>
  <c r="M149" a="1"/>
  <c r="M149" s="1"/>
  <c r="K148" a="1"/>
  <c r="K148" s="1"/>
  <c r="K147" a="1"/>
  <c r="K147" s="1"/>
  <c r="M146" a="1"/>
  <c r="M146" s="1"/>
  <c r="K145" a="1"/>
  <c r="K145" s="1"/>
  <c r="K144" a="1"/>
  <c r="K144" s="1"/>
  <c r="M150" a="1"/>
  <c r="M150" s="1"/>
  <c r="M147" a="1"/>
  <c r="M147" s="1"/>
  <c r="M144" a="1"/>
  <c r="M144" s="1"/>
  <c r="M151" a="1"/>
  <c r="M151" s="1"/>
  <c r="K152" a="1"/>
  <c r="K152" s="1"/>
  <c r="M148" a="1"/>
  <c r="M148" s="1"/>
  <c r="K149" a="1"/>
  <c r="K149" s="1"/>
  <c r="M145" a="1"/>
  <c r="M145" s="1"/>
  <c r="K146" a="1"/>
  <c r="K146" s="1"/>
  <c r="M163" a="1"/>
  <c r="M163" s="1"/>
  <c r="K162" a="1"/>
  <c r="K162" s="1"/>
  <c r="K161" a="1"/>
  <c r="K161" s="1"/>
  <c r="M160" a="1"/>
  <c r="M160" s="1"/>
  <c r="K159" a="1"/>
  <c r="K159" s="1"/>
  <c r="K158" a="1"/>
  <c r="K158" s="1"/>
  <c r="M157" a="1"/>
  <c r="M157" s="1"/>
  <c r="K156" a="1"/>
  <c r="K156" s="1"/>
  <c r="K155" a="1"/>
  <c r="K155" s="1"/>
  <c r="M162" a="1"/>
  <c r="M162" s="1"/>
  <c r="M161" a="1"/>
  <c r="M161" s="1"/>
  <c r="K163" a="1"/>
  <c r="K163" s="1"/>
  <c r="M159" a="1"/>
  <c r="M159" s="1"/>
  <c r="M158" a="1"/>
  <c r="M158" s="1"/>
  <c r="K160" a="1"/>
  <c r="K160" s="1"/>
  <c r="M155" a="1"/>
  <c r="M155" s="1"/>
  <c r="M156" a="1"/>
  <c r="M156" s="1"/>
  <c r="K157" a="1"/>
  <c r="K157" s="1"/>
  <c r="A134"/>
  <c r="A38"/>
  <c r="A104"/>
  <c r="L172" a="1"/>
  <c r="L172" s="1"/>
  <c r="J172" a="1"/>
  <c r="J172" s="1"/>
  <c r="L169" a="1"/>
  <c r="L169" s="1"/>
  <c r="J169" a="1"/>
  <c r="J169" s="1"/>
  <c r="L166" a="1"/>
  <c r="L166" s="1"/>
  <c r="J166" a="1"/>
  <c r="J166" s="1"/>
  <c r="L150" a="1"/>
  <c r="L150" s="1"/>
  <c r="J150" a="1"/>
  <c r="J150" s="1"/>
  <c r="L147" a="1"/>
  <c r="L147" s="1"/>
  <c r="J147" a="1"/>
  <c r="J147" s="1"/>
  <c r="L144" a="1"/>
  <c r="L144" s="1"/>
  <c r="J144" a="1"/>
  <c r="J144" s="1"/>
  <c r="L158" a="1"/>
  <c r="L158" s="1"/>
  <c r="L161" a="1"/>
  <c r="L161" s="1"/>
  <c r="J161" a="1"/>
  <c r="J161" s="1"/>
  <c r="J158" a="1"/>
  <c r="J158" s="1"/>
  <c r="L155" a="1"/>
  <c r="L155" s="1"/>
  <c r="J155" a="1"/>
  <c r="J155" s="1"/>
  <c r="N5" i="5"/>
  <c r="A177" i="3"/>
  <c r="L5" i="5"/>
  <c r="M5"/>
  <c r="A3" i="3"/>
  <c r="A20"/>
  <c r="J50" i="5"/>
  <c r="K50"/>
  <c r="I50"/>
  <c r="M8"/>
  <c r="F3" i="2"/>
  <c r="W2"/>
  <c r="K3" s="1"/>
  <c r="Q152" i="3" l="1" a="1"/>
  <c r="Q152" s="1"/>
  <c r="O151" a="1"/>
  <c r="O151" s="1"/>
  <c r="O150" a="1"/>
  <c r="O150" s="1"/>
  <c r="Q149" a="1"/>
  <c r="Q149" s="1"/>
  <c r="O148" a="1"/>
  <c r="O148" s="1"/>
  <c r="O147" a="1"/>
  <c r="O147" s="1"/>
  <c r="Q146" a="1"/>
  <c r="Q146" s="1"/>
  <c r="O145" a="1"/>
  <c r="O145" s="1"/>
  <c r="O144" a="1"/>
  <c r="O144" s="1"/>
  <c r="Q151" a="1"/>
  <c r="Q151" s="1"/>
  <c r="O152" a="1"/>
  <c r="O152" s="1"/>
  <c r="Q148" a="1"/>
  <c r="Q148" s="1"/>
  <c r="O149" a="1"/>
  <c r="O149" s="1"/>
  <c r="Q145" a="1"/>
  <c r="Q145" s="1"/>
  <c r="O146" a="1"/>
  <c r="O146" s="1"/>
  <c r="Q150" a="1"/>
  <c r="Q150" s="1"/>
  <c r="Q147" a="1"/>
  <c r="Q147" s="1"/>
  <c r="Q144" a="1"/>
  <c r="Q144" s="1"/>
  <c r="Q173" a="1"/>
  <c r="Q173" s="1"/>
  <c r="Q172" a="1"/>
  <c r="Q172" s="1"/>
  <c r="O174" a="1"/>
  <c r="O174" s="1"/>
  <c r="Q170" a="1"/>
  <c r="Q170" s="1"/>
  <c r="Q169" a="1"/>
  <c r="Q169" s="1"/>
  <c r="O171" a="1"/>
  <c r="O171" s="1"/>
  <c r="Q168" a="1"/>
  <c r="Q168" s="1"/>
  <c r="O167" a="1"/>
  <c r="O167" s="1"/>
  <c r="O166" a="1"/>
  <c r="O166" s="1"/>
  <c r="Q174" a="1"/>
  <c r="Q174" s="1"/>
  <c r="O173" a="1"/>
  <c r="O173" s="1"/>
  <c r="O172" a="1"/>
  <c r="O172" s="1"/>
  <c r="Q171" a="1"/>
  <c r="Q171" s="1"/>
  <c r="O170" a="1"/>
  <c r="O170" s="1"/>
  <c r="Q167" a="1"/>
  <c r="Q167" s="1"/>
  <c r="Q166" a="1"/>
  <c r="Q166" s="1"/>
  <c r="O168" a="1"/>
  <c r="O168" s="1"/>
  <c r="Q163" a="1"/>
  <c r="Q163" s="1"/>
  <c r="O162" a="1"/>
  <c r="O162" s="1"/>
  <c r="O161" a="1"/>
  <c r="O161" s="1"/>
  <c r="Q160" a="1"/>
  <c r="Q160" s="1"/>
  <c r="O159" a="1"/>
  <c r="O159" s="1"/>
  <c r="O158" a="1"/>
  <c r="O158" s="1"/>
  <c r="Q157" a="1"/>
  <c r="Q157" s="1"/>
  <c r="O156" a="1"/>
  <c r="O156" s="1"/>
  <c r="O155" a="1"/>
  <c r="O155" s="1"/>
  <c r="Q162" a="1"/>
  <c r="Q162" s="1"/>
  <c r="Q161" a="1"/>
  <c r="Q161" s="1"/>
  <c r="O163" a="1"/>
  <c r="O163" s="1"/>
  <c r="Q159" a="1"/>
  <c r="Q159" s="1"/>
  <c r="Q158" a="1"/>
  <c r="Q158" s="1"/>
  <c r="O160" a="1"/>
  <c r="O160" s="1"/>
  <c r="Q156" a="1"/>
  <c r="Q156" s="1"/>
  <c r="Q155" a="1"/>
  <c r="Q155" s="1"/>
  <c r="O157" a="1"/>
  <c r="O157" s="1"/>
  <c r="P161" a="1"/>
  <c r="P161" s="1"/>
  <c r="N161" a="1"/>
  <c r="N161" s="1"/>
  <c r="P158" a="1"/>
  <c r="P158" s="1"/>
  <c r="N158" a="1"/>
  <c r="N158" s="1"/>
  <c r="P155" a="1"/>
  <c r="P155" s="1"/>
  <c r="N155" a="1"/>
  <c r="N155" s="1"/>
  <c r="C156"/>
  <c r="C155"/>
  <c r="C157"/>
  <c r="B155"/>
  <c r="C159"/>
  <c r="C160"/>
  <c r="C158"/>
  <c r="B158"/>
  <c r="E162"/>
  <c r="E161"/>
  <c r="E163"/>
  <c r="D161"/>
  <c r="C145"/>
  <c r="C144"/>
  <c r="C146"/>
  <c r="B144"/>
  <c r="C148"/>
  <c r="C147"/>
  <c r="C149"/>
  <c r="B147"/>
  <c r="C151"/>
  <c r="C152"/>
  <c r="C150"/>
  <c r="B150"/>
  <c r="C167"/>
  <c r="C168"/>
  <c r="C166"/>
  <c r="B166"/>
  <c r="C170"/>
  <c r="C169"/>
  <c r="C171"/>
  <c r="B169"/>
  <c r="C173"/>
  <c r="C172"/>
  <c r="C174"/>
  <c r="B172"/>
  <c r="P150" a="1"/>
  <c r="P150" s="1"/>
  <c r="N150" a="1"/>
  <c r="N150" s="1"/>
  <c r="P147" a="1"/>
  <c r="P147" s="1"/>
  <c r="N147" a="1"/>
  <c r="N147" s="1"/>
  <c r="P144" a="1"/>
  <c r="P144" s="1"/>
  <c r="N144" a="1"/>
  <c r="N144" s="1"/>
  <c r="P172" a="1"/>
  <c r="P172" s="1"/>
  <c r="N172" a="1"/>
  <c r="N172" s="1"/>
  <c r="P169" a="1"/>
  <c r="P169" s="1"/>
  <c r="N169" a="1"/>
  <c r="N169" s="1"/>
  <c r="P166" a="1"/>
  <c r="P166" s="1"/>
  <c r="N166" a="1"/>
  <c r="N166" s="1"/>
  <c r="O169" a="1"/>
  <c r="O169" s="1"/>
  <c r="E156"/>
  <c r="E157"/>
  <c r="E155"/>
  <c r="D155"/>
  <c r="C162"/>
  <c r="C161"/>
  <c r="C163"/>
  <c r="B161"/>
  <c r="E159"/>
  <c r="E160"/>
  <c r="E158"/>
  <c r="D158"/>
  <c r="E145"/>
  <c r="E144"/>
  <c r="E146"/>
  <c r="D144"/>
  <c r="E148"/>
  <c r="E149"/>
  <c r="E147"/>
  <c r="D147"/>
  <c r="E151"/>
  <c r="E150"/>
  <c r="E152"/>
  <c r="D150"/>
  <c r="E167"/>
  <c r="E168"/>
  <c r="E166"/>
  <c r="D166"/>
  <c r="E170"/>
  <c r="E169"/>
  <c r="E171"/>
  <c r="D169"/>
  <c r="E173"/>
  <c r="E174"/>
  <c r="E172"/>
  <c r="D172"/>
  <c r="L50" i="5"/>
  <c r="H137" i="3" s="1"/>
  <c r="F137"/>
  <c r="D137" s="1"/>
  <c r="M50" i="5"/>
  <c r="H138" i="3" s="1"/>
  <c r="F138"/>
  <c r="D138" s="1"/>
  <c r="N50" i="5"/>
  <c r="H139" i="3" s="1"/>
  <c r="F139"/>
  <c r="D139" s="1"/>
  <c r="P5" i="2"/>
  <c r="O5"/>
  <c r="G167" i="3" l="1"/>
  <c r="G166"/>
  <c r="G168"/>
  <c r="F166"/>
  <c r="G170"/>
  <c r="G171"/>
  <c r="G169"/>
  <c r="F169"/>
  <c r="G173"/>
  <c r="G172"/>
  <c r="G174"/>
  <c r="F172"/>
  <c r="G145"/>
  <c r="G144"/>
  <c r="G146"/>
  <c r="F144"/>
  <c r="G148"/>
  <c r="G149"/>
  <c r="G147"/>
  <c r="F147"/>
  <c r="G151"/>
  <c r="G150"/>
  <c r="G152"/>
  <c r="F150"/>
  <c r="G156"/>
  <c r="G155"/>
  <c r="G157"/>
  <c r="F155"/>
  <c r="G159"/>
  <c r="G158"/>
  <c r="G160"/>
  <c r="F158"/>
  <c r="G162"/>
  <c r="G161"/>
  <c r="G163"/>
  <c r="F161"/>
  <c r="I167"/>
  <c r="I168"/>
  <c r="I166"/>
  <c r="H166"/>
  <c r="I170"/>
  <c r="I169"/>
  <c r="I171"/>
  <c r="H169"/>
  <c r="I173"/>
  <c r="I174"/>
  <c r="I172"/>
  <c r="H172"/>
  <c r="I145"/>
  <c r="I146"/>
  <c r="I144"/>
  <c r="H144"/>
  <c r="I148"/>
  <c r="I147"/>
  <c r="I149"/>
  <c r="H147"/>
  <c r="I151"/>
  <c r="I152"/>
  <c r="I150"/>
  <c r="H150"/>
  <c r="I156"/>
  <c r="I155"/>
  <c r="I157"/>
  <c r="H155"/>
  <c r="I159"/>
  <c r="I158"/>
  <c r="I160"/>
  <c r="H158"/>
  <c r="I162"/>
  <c r="I161"/>
  <c r="I163"/>
  <c r="H161"/>
  <c r="U5" i="2"/>
  <c r="T5"/>
  <c r="Q5"/>
  <c r="N5"/>
  <c r="V5" l="1"/>
  <c r="S5"/>
  <c r="J19" i="1"/>
  <c r="N19" s="1"/>
  <c r="P19" s="1"/>
  <c r="J21"/>
  <c r="N21" s="1"/>
  <c r="P21" s="1"/>
  <c r="J23"/>
  <c r="N23" s="1"/>
  <c r="P23" s="1"/>
  <c r="J25"/>
  <c r="N25" s="1"/>
  <c r="P25" s="1"/>
  <c r="J27"/>
  <c r="N27" s="1"/>
  <c r="P27" s="1"/>
  <c r="J29"/>
  <c r="N29" s="1"/>
  <c r="P29" s="1"/>
  <c r="J31"/>
  <c r="N31" s="1"/>
  <c r="P31" s="1"/>
  <c r="J33"/>
  <c r="N33" s="1"/>
  <c r="P33" s="1"/>
  <c r="J35"/>
  <c r="N35" s="1"/>
  <c r="P35" s="1"/>
  <c r="J37"/>
  <c r="N37" s="1"/>
  <c r="P37" s="1"/>
  <c r="J39"/>
  <c r="N39" s="1"/>
  <c r="P39" s="1"/>
  <c r="J10" l="1"/>
  <c r="N10" s="1"/>
  <c r="P10" s="1"/>
  <c r="F43"/>
  <c r="M43" s="1"/>
  <c r="O43" s="1"/>
  <c r="J12"/>
  <c r="N12" s="1"/>
  <c r="P12" s="1"/>
  <c r="J42"/>
  <c r="N42" s="1"/>
  <c r="P42" s="1"/>
  <c r="F15"/>
  <c r="M15" s="1"/>
  <c r="O15" s="1"/>
  <c r="F6"/>
  <c r="F39"/>
  <c r="M39" s="1"/>
  <c r="O39" s="1"/>
  <c r="F33"/>
  <c r="M33" s="1"/>
  <c r="O33" s="1"/>
  <c r="F29"/>
  <c r="M29" s="1"/>
  <c r="O29" s="1"/>
  <c r="F27"/>
  <c r="M27" s="1"/>
  <c r="O27" s="1"/>
  <c r="F23"/>
  <c r="M23" s="1"/>
  <c r="O23" s="1"/>
  <c r="F21"/>
  <c r="M21" s="1"/>
  <c r="O21" s="1"/>
  <c r="J41"/>
  <c r="N41" s="1"/>
  <c r="P41" s="1"/>
  <c r="J38"/>
  <c r="N38" s="1"/>
  <c r="P38" s="1"/>
  <c r="J36"/>
  <c r="N36" s="1"/>
  <c r="P36" s="1"/>
  <c r="J34"/>
  <c r="N34" s="1"/>
  <c r="P34" s="1"/>
  <c r="J32"/>
  <c r="N32" s="1"/>
  <c r="P32" s="1"/>
  <c r="J30"/>
  <c r="N30" s="1"/>
  <c r="P30" s="1"/>
  <c r="J28"/>
  <c r="N28" s="1"/>
  <c r="P28" s="1"/>
  <c r="J26"/>
  <c r="N26" s="1"/>
  <c r="P26" s="1"/>
  <c r="J24"/>
  <c r="N24" s="1"/>
  <c r="P24" s="1"/>
  <c r="J22"/>
  <c r="N22" s="1"/>
  <c r="P22" s="1"/>
  <c r="J20"/>
  <c r="N20" s="1"/>
  <c r="P20" s="1"/>
  <c r="F14"/>
  <c r="M14" s="1"/>
  <c r="O14" s="1"/>
  <c r="F12"/>
  <c r="M12" s="1"/>
  <c r="O12" s="1"/>
  <c r="F10"/>
  <c r="M10" s="1"/>
  <c r="O10" s="1"/>
  <c r="F8"/>
  <c r="M8" s="1"/>
  <c r="O8" s="1"/>
  <c r="F7"/>
  <c r="M7" s="1"/>
  <c r="O7" s="1"/>
  <c r="F37"/>
  <c r="M37" s="1"/>
  <c r="O37" s="1"/>
  <c r="F35"/>
  <c r="M35" s="1"/>
  <c r="O35" s="1"/>
  <c r="F31"/>
  <c r="M31" s="1"/>
  <c r="O31" s="1"/>
  <c r="F25"/>
  <c r="M25" s="1"/>
  <c r="O25" s="1"/>
  <c r="F19"/>
  <c r="M19" s="1"/>
  <c r="O19" s="1"/>
  <c r="J43"/>
  <c r="N43" s="1"/>
  <c r="P43" s="1"/>
  <c r="F41"/>
  <c r="M41" s="1"/>
  <c r="O41" s="1"/>
  <c r="F38"/>
  <c r="M38" s="1"/>
  <c r="O38" s="1"/>
  <c r="F36"/>
  <c r="M36" s="1"/>
  <c r="O36" s="1"/>
  <c r="F34"/>
  <c r="M34" s="1"/>
  <c r="O34" s="1"/>
  <c r="F32"/>
  <c r="M32" s="1"/>
  <c r="O32" s="1"/>
  <c r="F30"/>
  <c r="M30" s="1"/>
  <c r="O30" s="1"/>
  <c r="F28"/>
  <c r="M28" s="1"/>
  <c r="O28" s="1"/>
  <c r="F26"/>
  <c r="M26" s="1"/>
  <c r="O26" s="1"/>
  <c r="F24"/>
  <c r="M24" s="1"/>
  <c r="O24" s="1"/>
  <c r="F22"/>
  <c r="M22" s="1"/>
  <c r="O22" s="1"/>
  <c r="F20"/>
  <c r="M20" s="1"/>
  <c r="O20" s="1"/>
  <c r="J7"/>
  <c r="N7" s="1"/>
  <c r="P7" s="1"/>
  <c r="J9"/>
  <c r="N9" s="1"/>
  <c r="P9" s="1"/>
  <c r="F17"/>
  <c r="M17" s="1"/>
  <c r="O17" s="1"/>
  <c r="J15"/>
  <c r="N15" s="1"/>
  <c r="P15" s="1"/>
  <c r="J13"/>
  <c r="N13" s="1"/>
  <c r="P13" s="1"/>
  <c r="J11"/>
  <c r="N11" s="1"/>
  <c r="P11" s="1"/>
  <c r="F42"/>
  <c r="M42" s="1"/>
  <c r="O42" s="1"/>
  <c r="F13"/>
  <c r="M13" s="1"/>
  <c r="O13" s="1"/>
  <c r="F11"/>
  <c r="M11" s="1"/>
  <c r="O11" s="1"/>
  <c r="F9"/>
  <c r="M9" s="1"/>
  <c r="O9" s="1"/>
  <c r="J8"/>
  <c r="N8" s="1"/>
  <c r="P8" s="1"/>
  <c r="F44"/>
  <c r="M44" s="1"/>
  <c r="O44" s="1"/>
  <c r="F18"/>
  <c r="M18" s="1"/>
  <c r="O18" s="1"/>
  <c r="J16"/>
  <c r="N16" s="1"/>
  <c r="P16" s="1"/>
  <c r="J44"/>
  <c r="N44" s="1"/>
  <c r="P44" s="1"/>
  <c r="J18"/>
  <c r="N18" s="1"/>
  <c r="P18" s="1"/>
  <c r="J17"/>
  <c r="N17" s="1"/>
  <c r="P17" s="1"/>
  <c r="F16"/>
  <c r="M16" s="1"/>
  <c r="O16" s="1"/>
  <c r="J14"/>
  <c r="N14" s="1"/>
  <c r="P14" s="1"/>
  <c r="J6"/>
  <c r="M6" l="1"/>
  <c r="N6"/>
  <c r="P6" l="1"/>
  <c r="O6"/>
  <c r="Q6" i="2"/>
  <c r="Q7"/>
  <c r="V7" s="1"/>
  <c r="Q8"/>
  <c r="V8" s="1"/>
  <c r="Q9"/>
  <c r="V9" s="1"/>
  <c r="Q10"/>
  <c r="V10" s="1"/>
  <c r="Q11"/>
  <c r="V11" s="1"/>
  <c r="Q12"/>
  <c r="V12" s="1"/>
  <c r="Q13"/>
  <c r="V13" s="1"/>
  <c r="Q14"/>
  <c r="V14" s="1"/>
  <c r="Q15"/>
  <c r="V15" s="1"/>
  <c r="Q16"/>
  <c r="V16" s="1"/>
  <c r="Q17"/>
  <c r="V17" s="1"/>
  <c r="Q18"/>
  <c r="V18" s="1"/>
  <c r="Q19"/>
  <c r="V19" s="1"/>
  <c r="Q20"/>
  <c r="V20" s="1"/>
  <c r="Q21"/>
  <c r="V21" s="1"/>
  <c r="Q22"/>
  <c r="V22" s="1"/>
  <c r="Q23"/>
  <c r="V23" s="1"/>
  <c r="Q24"/>
  <c r="V24" s="1"/>
  <c r="Q25"/>
  <c r="V25" s="1"/>
  <c r="Q26"/>
  <c r="V26" s="1"/>
  <c r="Q27"/>
  <c r="V27" s="1"/>
  <c r="Q28"/>
  <c r="V28" s="1"/>
  <c r="Q29"/>
  <c r="V29" s="1"/>
  <c r="Q30"/>
  <c r="V30" s="1"/>
  <c r="Q31"/>
  <c r="V31" s="1"/>
  <c r="Q32"/>
  <c r="V32" s="1"/>
  <c r="Q33"/>
  <c r="V33" s="1"/>
  <c r="Q34"/>
  <c r="V34" s="1"/>
  <c r="Q35"/>
  <c r="V35" s="1"/>
  <c r="Q36"/>
  <c r="V36" s="1"/>
  <c r="Q37"/>
  <c r="V37" s="1"/>
  <c r="Q38"/>
  <c r="V38" s="1"/>
  <c r="Q40"/>
  <c r="V40" s="1"/>
  <c r="Q41"/>
  <c r="V41" s="1"/>
  <c r="Q42"/>
  <c r="V42" s="1"/>
  <c r="Q43"/>
  <c r="V43" s="1"/>
  <c r="Q44"/>
  <c r="V44" s="1"/>
  <c r="Q45"/>
  <c r="V45" s="1"/>
  <c r="Q46"/>
  <c r="V46" s="1"/>
  <c r="Q47"/>
  <c r="V47" s="1"/>
  <c r="Q48"/>
  <c r="V48" s="1"/>
  <c r="Q49"/>
  <c r="V49" s="1"/>
  <c r="P6"/>
  <c r="P7"/>
  <c r="U7" s="1"/>
  <c r="P8"/>
  <c r="U8" s="1"/>
  <c r="P9"/>
  <c r="U9" s="1"/>
  <c r="P10"/>
  <c r="U10" s="1"/>
  <c r="P11"/>
  <c r="U11" s="1"/>
  <c r="P12"/>
  <c r="U12" s="1"/>
  <c r="P13"/>
  <c r="U13" s="1"/>
  <c r="P14"/>
  <c r="U14" s="1"/>
  <c r="P15"/>
  <c r="U15" s="1"/>
  <c r="P16"/>
  <c r="U16" s="1"/>
  <c r="P17"/>
  <c r="U17" s="1"/>
  <c r="P18"/>
  <c r="U18" s="1"/>
  <c r="P19"/>
  <c r="U19" s="1"/>
  <c r="P20"/>
  <c r="U20" s="1"/>
  <c r="P21"/>
  <c r="U21" s="1"/>
  <c r="P22"/>
  <c r="U22" s="1"/>
  <c r="P23"/>
  <c r="U23" s="1"/>
  <c r="P24"/>
  <c r="U24" s="1"/>
  <c r="P25"/>
  <c r="U25" s="1"/>
  <c r="P26"/>
  <c r="U26" s="1"/>
  <c r="P27"/>
  <c r="U27" s="1"/>
  <c r="P28"/>
  <c r="U28" s="1"/>
  <c r="P29"/>
  <c r="U29" s="1"/>
  <c r="P30"/>
  <c r="U30" s="1"/>
  <c r="P31"/>
  <c r="U31" s="1"/>
  <c r="P32"/>
  <c r="U32" s="1"/>
  <c r="P33"/>
  <c r="U33" s="1"/>
  <c r="P34"/>
  <c r="U34" s="1"/>
  <c r="P35"/>
  <c r="U35" s="1"/>
  <c r="P36"/>
  <c r="U36" s="1"/>
  <c r="P37"/>
  <c r="U37" s="1"/>
  <c r="P38"/>
  <c r="U38" s="1"/>
  <c r="P40"/>
  <c r="U40" s="1"/>
  <c r="P41"/>
  <c r="U41" s="1"/>
  <c r="P42"/>
  <c r="U42" s="1"/>
  <c r="P43"/>
  <c r="U43" s="1"/>
  <c r="P44"/>
  <c r="U44" s="1"/>
  <c r="P45"/>
  <c r="U45" s="1"/>
  <c r="P46"/>
  <c r="U46" s="1"/>
  <c r="P47"/>
  <c r="U47" s="1"/>
  <c r="P48"/>
  <c r="U48" s="1"/>
  <c r="P49"/>
  <c r="U49" s="1"/>
  <c r="O6"/>
  <c r="O7"/>
  <c r="T7" s="1"/>
  <c r="O8"/>
  <c r="T8" s="1"/>
  <c r="O9"/>
  <c r="T9" s="1"/>
  <c r="O10"/>
  <c r="T10" s="1"/>
  <c r="O11"/>
  <c r="T11" s="1"/>
  <c r="O12"/>
  <c r="T12" s="1"/>
  <c r="O13"/>
  <c r="T13" s="1"/>
  <c r="O14"/>
  <c r="T14" s="1"/>
  <c r="O15"/>
  <c r="T15" s="1"/>
  <c r="O16"/>
  <c r="T16" s="1"/>
  <c r="O17"/>
  <c r="T17" s="1"/>
  <c r="O18"/>
  <c r="T18" s="1"/>
  <c r="O19"/>
  <c r="T19" s="1"/>
  <c r="O20"/>
  <c r="T20" s="1"/>
  <c r="O21"/>
  <c r="T21" s="1"/>
  <c r="O22"/>
  <c r="T22" s="1"/>
  <c r="O23"/>
  <c r="T23" s="1"/>
  <c r="O24"/>
  <c r="T24" s="1"/>
  <c r="O25"/>
  <c r="T25" s="1"/>
  <c r="O26"/>
  <c r="T26" s="1"/>
  <c r="O27"/>
  <c r="T27" s="1"/>
  <c r="O28"/>
  <c r="T28" s="1"/>
  <c r="O29"/>
  <c r="T29" s="1"/>
  <c r="O30"/>
  <c r="T30" s="1"/>
  <c r="O31"/>
  <c r="T31" s="1"/>
  <c r="O32"/>
  <c r="T32" s="1"/>
  <c r="O33"/>
  <c r="T33" s="1"/>
  <c r="O34"/>
  <c r="T34" s="1"/>
  <c r="O35"/>
  <c r="T35" s="1"/>
  <c r="O36"/>
  <c r="T36" s="1"/>
  <c r="O37"/>
  <c r="T37" s="1"/>
  <c r="O38"/>
  <c r="T38" s="1"/>
  <c r="O40"/>
  <c r="T40" s="1"/>
  <c r="O41"/>
  <c r="T41" s="1"/>
  <c r="O42"/>
  <c r="T42" s="1"/>
  <c r="O43"/>
  <c r="T43" s="1"/>
  <c r="O44"/>
  <c r="T44" s="1"/>
  <c r="O45"/>
  <c r="T45" s="1"/>
  <c r="O46"/>
  <c r="T46" s="1"/>
  <c r="O47"/>
  <c r="T47" s="1"/>
  <c r="O48"/>
  <c r="T48" s="1"/>
  <c r="O49"/>
  <c r="T49" s="1"/>
  <c r="N6"/>
  <c r="N7"/>
  <c r="S7" s="1"/>
  <c r="N8"/>
  <c r="S8" s="1"/>
  <c r="N9"/>
  <c r="S9" s="1"/>
  <c r="N10"/>
  <c r="S10" s="1"/>
  <c r="N11"/>
  <c r="S11" s="1"/>
  <c r="N12"/>
  <c r="S12" s="1"/>
  <c r="N13"/>
  <c r="S13" s="1"/>
  <c r="N14"/>
  <c r="S14" s="1"/>
  <c r="N15"/>
  <c r="S15" s="1"/>
  <c r="N16"/>
  <c r="S16" s="1"/>
  <c r="N17"/>
  <c r="S17" s="1"/>
  <c r="N18"/>
  <c r="S18" s="1"/>
  <c r="N19"/>
  <c r="S19" s="1"/>
  <c r="N20"/>
  <c r="S20" s="1"/>
  <c r="N21"/>
  <c r="S21" s="1"/>
  <c r="N22"/>
  <c r="S22" s="1"/>
  <c r="N23"/>
  <c r="S23" s="1"/>
  <c r="N24"/>
  <c r="S24" s="1"/>
  <c r="N25"/>
  <c r="S25" s="1"/>
  <c r="N26"/>
  <c r="S26" s="1"/>
  <c r="N27"/>
  <c r="S27" s="1"/>
  <c r="N28"/>
  <c r="S28" s="1"/>
  <c r="N29"/>
  <c r="S29" s="1"/>
  <c r="N30"/>
  <c r="S30" s="1"/>
  <c r="N31"/>
  <c r="S31" s="1"/>
  <c r="N32"/>
  <c r="S32" s="1"/>
  <c r="N33"/>
  <c r="S33" s="1"/>
  <c r="N34"/>
  <c r="S34" s="1"/>
  <c r="N35"/>
  <c r="S35" s="1"/>
  <c r="N36"/>
  <c r="S36" s="1"/>
  <c r="N37"/>
  <c r="S37" s="1"/>
  <c r="N38"/>
  <c r="S38" s="1"/>
  <c r="N40"/>
  <c r="S40" s="1"/>
  <c r="N41"/>
  <c r="S41" s="1"/>
  <c r="N42"/>
  <c r="S42" s="1"/>
  <c r="N43"/>
  <c r="S43" s="1"/>
  <c r="N44"/>
  <c r="S44" s="1"/>
  <c r="N45"/>
  <c r="S45" s="1"/>
  <c r="N46"/>
  <c r="S46" s="1"/>
  <c r="N47"/>
  <c r="S47" s="1"/>
  <c r="N48"/>
  <c r="S48" s="1"/>
  <c r="N49"/>
  <c r="S49" s="1"/>
  <c r="M6"/>
  <c r="R6" s="1"/>
  <c r="M7"/>
  <c r="R7" s="1"/>
  <c r="M8"/>
  <c r="R8" s="1"/>
  <c r="M9"/>
  <c r="R9" s="1"/>
  <c r="M10"/>
  <c r="R10" s="1"/>
  <c r="M11"/>
  <c r="R11" s="1"/>
  <c r="M12"/>
  <c r="R12" s="1"/>
  <c r="M13"/>
  <c r="R13" s="1"/>
  <c r="M14"/>
  <c r="R14" s="1"/>
  <c r="M15"/>
  <c r="R15" s="1"/>
  <c r="M16"/>
  <c r="R16" s="1"/>
  <c r="M17"/>
  <c r="R17" s="1"/>
  <c r="M18"/>
  <c r="R18" s="1"/>
  <c r="M19"/>
  <c r="R19" s="1"/>
  <c r="M20"/>
  <c r="R20" s="1"/>
  <c r="M21"/>
  <c r="R21" s="1"/>
  <c r="M22"/>
  <c r="R22" s="1"/>
  <c r="M23"/>
  <c r="R23" s="1"/>
  <c r="M24"/>
  <c r="R24" s="1"/>
  <c r="M25"/>
  <c r="R25" s="1"/>
  <c r="M26"/>
  <c r="R26" s="1"/>
  <c r="M27"/>
  <c r="R27" s="1"/>
  <c r="M28"/>
  <c r="R28" s="1"/>
  <c r="M29"/>
  <c r="R29" s="1"/>
  <c r="M30"/>
  <c r="R30" s="1"/>
  <c r="M31"/>
  <c r="R31" s="1"/>
  <c r="M32"/>
  <c r="R32" s="1"/>
  <c r="M33"/>
  <c r="R33" s="1"/>
  <c r="M34"/>
  <c r="R34" s="1"/>
  <c r="M35"/>
  <c r="R35" s="1"/>
  <c r="M36"/>
  <c r="R36" s="1"/>
  <c r="M37"/>
  <c r="R37" s="1"/>
  <c r="M38"/>
  <c r="R38" s="1"/>
  <c r="M40"/>
  <c r="R40" s="1"/>
  <c r="M41"/>
  <c r="R41" s="1"/>
  <c r="M42"/>
  <c r="R42" s="1"/>
  <c r="M43"/>
  <c r="R43" s="1"/>
  <c r="M44"/>
  <c r="R44" s="1"/>
  <c r="M45"/>
  <c r="R45" s="1"/>
  <c r="M46"/>
  <c r="R46" s="1"/>
  <c r="M47"/>
  <c r="R47" s="1"/>
  <c r="M48"/>
  <c r="R48" s="1"/>
  <c r="M49"/>
  <c r="R49" s="1"/>
  <c r="M5"/>
  <c r="H50"/>
  <c r="I50"/>
  <c r="J50"/>
  <c r="K50"/>
  <c r="L50"/>
  <c r="M58" i="3" l="1" a="1"/>
  <c r="M58" s="1"/>
  <c r="K57" a="1"/>
  <c r="K57" s="1"/>
  <c r="K56" a="1"/>
  <c r="K56" s="1"/>
  <c r="M55" a="1"/>
  <c r="M55" s="1"/>
  <c r="K54" a="1"/>
  <c r="K54" s="1"/>
  <c r="K53" a="1"/>
  <c r="K53" s="1"/>
  <c r="M57" a="1"/>
  <c r="M57" s="1"/>
  <c r="K58" a="1"/>
  <c r="K58" s="1"/>
  <c r="M54" a="1"/>
  <c r="M54" s="1"/>
  <c r="K55" a="1"/>
  <c r="K55" s="1"/>
  <c r="M51" a="1"/>
  <c r="M51" s="1"/>
  <c r="M50" a="1"/>
  <c r="M50" s="1"/>
  <c r="K52" a="1"/>
  <c r="K52" s="1"/>
  <c r="M56" a="1"/>
  <c r="M56" s="1"/>
  <c r="M53" a="1"/>
  <c r="M53" s="1"/>
  <c r="M52" a="1"/>
  <c r="M52" s="1"/>
  <c r="K51" a="1"/>
  <c r="K51" s="1"/>
  <c r="K50" a="1"/>
  <c r="K50" s="1"/>
  <c r="M69" a="1"/>
  <c r="M69" s="1"/>
  <c r="K67" a="1"/>
  <c r="K67" s="1"/>
  <c r="K65" a="1"/>
  <c r="K65" s="1"/>
  <c r="M63" a="1"/>
  <c r="M63" s="1"/>
  <c r="K61" a="1"/>
  <c r="K61" s="1"/>
  <c r="K69" a="1"/>
  <c r="K69" s="1"/>
  <c r="K66" a="1"/>
  <c r="K66" s="1"/>
  <c r="K63" a="1"/>
  <c r="K63" s="1"/>
  <c r="M64" a="1"/>
  <c r="M64" s="1"/>
  <c r="K68" a="1"/>
  <c r="K68" s="1"/>
  <c r="M66" a="1"/>
  <c r="M66" s="1"/>
  <c r="K64" a="1"/>
  <c r="K64" s="1"/>
  <c r="K62" a="1"/>
  <c r="K62" s="1"/>
  <c r="M68" a="1"/>
  <c r="M68" s="1"/>
  <c r="M65" a="1"/>
  <c r="M65" s="1"/>
  <c r="M62" a="1"/>
  <c r="M62" s="1"/>
  <c r="M67" a="1"/>
  <c r="M67" s="1"/>
  <c r="M61" a="1"/>
  <c r="M61" s="1"/>
  <c r="M91" a="1"/>
  <c r="M91" s="1"/>
  <c r="K89" a="1"/>
  <c r="K89" s="1"/>
  <c r="K87" a="1"/>
  <c r="K87" s="1"/>
  <c r="M85" a="1"/>
  <c r="M85" s="1"/>
  <c r="K83" a="1"/>
  <c r="K83" s="1"/>
  <c r="K91" a="1"/>
  <c r="K91" s="1"/>
  <c r="K88" a="1"/>
  <c r="K88" s="1"/>
  <c r="K85" a="1"/>
  <c r="K85" s="1"/>
  <c r="M86" a="1"/>
  <c r="M86" s="1"/>
  <c r="K90" a="1"/>
  <c r="K90" s="1"/>
  <c r="M88" a="1"/>
  <c r="M88" s="1"/>
  <c r="K86" a="1"/>
  <c r="K86" s="1"/>
  <c r="K84" a="1"/>
  <c r="K84" s="1"/>
  <c r="M90" a="1"/>
  <c r="M90" s="1"/>
  <c r="M87" a="1"/>
  <c r="M87" s="1"/>
  <c r="M84" a="1"/>
  <c r="M84" s="1"/>
  <c r="M89" a="1"/>
  <c r="M89" s="1"/>
  <c r="M83" a="1"/>
  <c r="M83" s="1"/>
  <c r="M80" a="1"/>
  <c r="M80" s="1"/>
  <c r="K78" a="1"/>
  <c r="K78" s="1"/>
  <c r="K76" a="1"/>
  <c r="K76" s="1"/>
  <c r="M74" a="1"/>
  <c r="M74" s="1"/>
  <c r="K72" a="1"/>
  <c r="K72" s="1"/>
  <c r="K80" a="1"/>
  <c r="K80" s="1"/>
  <c r="K77" a="1"/>
  <c r="K77" s="1"/>
  <c r="K74" a="1"/>
  <c r="K74" s="1"/>
  <c r="M75" a="1"/>
  <c r="M75" s="1"/>
  <c r="K79" a="1"/>
  <c r="K79" s="1"/>
  <c r="M77" a="1"/>
  <c r="M77" s="1"/>
  <c r="K75" a="1"/>
  <c r="K75" s="1"/>
  <c r="K73" a="1"/>
  <c r="K73" s="1"/>
  <c r="M79" a="1"/>
  <c r="M79" s="1"/>
  <c r="M76" a="1"/>
  <c r="M76" s="1"/>
  <c r="M73" a="1"/>
  <c r="M73" s="1"/>
  <c r="M78" a="1"/>
  <c r="M78" s="1"/>
  <c r="M72" a="1"/>
  <c r="M72" s="1"/>
  <c r="M102" a="1"/>
  <c r="M102" s="1"/>
  <c r="K100" a="1"/>
  <c r="K100" s="1"/>
  <c r="K98" a="1"/>
  <c r="K98" s="1"/>
  <c r="M96" a="1"/>
  <c r="M96" s="1"/>
  <c r="K94" a="1"/>
  <c r="K94" s="1"/>
  <c r="K102" a="1"/>
  <c r="K102" s="1"/>
  <c r="K99" a="1"/>
  <c r="K99" s="1"/>
  <c r="K96" a="1"/>
  <c r="K96" s="1"/>
  <c r="M97" a="1"/>
  <c r="M97" s="1"/>
  <c r="K101" a="1"/>
  <c r="K101" s="1"/>
  <c r="M99" a="1"/>
  <c r="M99" s="1"/>
  <c r="K97" a="1"/>
  <c r="K97" s="1"/>
  <c r="K95" a="1"/>
  <c r="K95" s="1"/>
  <c r="M101" a="1"/>
  <c r="M101" s="1"/>
  <c r="M98" a="1"/>
  <c r="M98" s="1"/>
  <c r="M95" a="1"/>
  <c r="M95" s="1"/>
  <c r="M100" a="1"/>
  <c r="M100" s="1"/>
  <c r="M94" a="1"/>
  <c r="M94" s="1"/>
  <c r="L53" a="1"/>
  <c r="L53" s="1"/>
  <c r="J56" a="1"/>
  <c r="J56" s="1"/>
  <c r="J50" a="1"/>
  <c r="J50" s="1"/>
  <c r="L56" a="1"/>
  <c r="L56" s="1"/>
  <c r="L50" a="1"/>
  <c r="L50" s="1"/>
  <c r="J53" a="1"/>
  <c r="J53" s="1"/>
  <c r="L67" a="1"/>
  <c r="L67" s="1"/>
  <c r="L64" a="1"/>
  <c r="L64" s="1"/>
  <c r="L61" a="1"/>
  <c r="L61" s="1"/>
  <c r="J67" a="1"/>
  <c r="J67" s="1"/>
  <c r="J64" a="1"/>
  <c r="J64" s="1"/>
  <c r="J61" a="1"/>
  <c r="J61" s="1"/>
  <c r="B61" s="1"/>
  <c r="L89" a="1"/>
  <c r="L89" s="1"/>
  <c r="L86" a="1"/>
  <c r="L86" s="1"/>
  <c r="L83" a="1"/>
  <c r="L83" s="1"/>
  <c r="J89" a="1"/>
  <c r="J89" s="1"/>
  <c r="J86" a="1"/>
  <c r="J86" s="1"/>
  <c r="J83" a="1"/>
  <c r="J83" s="1"/>
  <c r="L78" a="1"/>
  <c r="L78" s="1"/>
  <c r="L75" a="1"/>
  <c r="L75" s="1"/>
  <c r="J75" a="1"/>
  <c r="J75" s="1"/>
  <c r="J72" a="1"/>
  <c r="J72" s="1"/>
  <c r="J78" a="1"/>
  <c r="J78" s="1"/>
  <c r="L72" a="1"/>
  <c r="L72" s="1"/>
  <c r="L100" a="1"/>
  <c r="L100" s="1"/>
  <c r="L97" a="1"/>
  <c r="L97" s="1"/>
  <c r="L94" a="1"/>
  <c r="L94" s="1"/>
  <c r="J100" a="1"/>
  <c r="J100" s="1"/>
  <c r="J97" a="1"/>
  <c r="J97" s="1"/>
  <c r="J94" a="1"/>
  <c r="J94" s="1"/>
  <c r="U6" i="2"/>
  <c r="V6"/>
  <c r="R5"/>
  <c r="S6"/>
  <c r="T6"/>
  <c r="P50"/>
  <c r="U50" s="1"/>
  <c r="O50"/>
  <c r="T50" s="1"/>
  <c r="N50"/>
  <c r="S50" s="1"/>
  <c r="M50"/>
  <c r="Q50"/>
  <c r="V50" s="1"/>
  <c r="C53" i="3" l="1"/>
  <c r="B53"/>
  <c r="C56"/>
  <c r="C58"/>
  <c r="B56"/>
  <c r="C57"/>
  <c r="Q69" a="1"/>
  <c r="Q69" s="1"/>
  <c r="O67" a="1"/>
  <c r="O67" s="1"/>
  <c r="O65" a="1"/>
  <c r="O65" s="1"/>
  <c r="Q63" a="1"/>
  <c r="Q63" s="1"/>
  <c r="O61" a="1"/>
  <c r="O61" s="1"/>
  <c r="Q64" a="1"/>
  <c r="Q64" s="1"/>
  <c r="Q68" a="1"/>
  <c r="Q68" s="1"/>
  <c r="Q65" a="1"/>
  <c r="Q65" s="1"/>
  <c r="Q62" a="1"/>
  <c r="Q62" s="1"/>
  <c r="O68" a="1"/>
  <c r="O68" s="1"/>
  <c r="Q66" a="1"/>
  <c r="Q66" s="1"/>
  <c r="O64" a="1"/>
  <c r="O64" s="1"/>
  <c r="O62" a="1"/>
  <c r="O62" s="1"/>
  <c r="Q67" a="1"/>
  <c r="Q67" s="1"/>
  <c r="Q61" a="1"/>
  <c r="Q61" s="1"/>
  <c r="O69" a="1"/>
  <c r="O69" s="1"/>
  <c r="O66" a="1"/>
  <c r="O66" s="1"/>
  <c r="O63" a="1"/>
  <c r="O63" s="1"/>
  <c r="Q102" a="1"/>
  <c r="Q102" s="1"/>
  <c r="O100" a="1"/>
  <c r="O100" s="1"/>
  <c r="O98" a="1"/>
  <c r="O98" s="1"/>
  <c r="Q96" a="1"/>
  <c r="Q96" s="1"/>
  <c r="O94" a="1"/>
  <c r="O94" s="1"/>
  <c r="Q97" a="1"/>
  <c r="Q97" s="1"/>
  <c r="Q101" a="1"/>
  <c r="Q101" s="1"/>
  <c r="Q98" a="1"/>
  <c r="Q98" s="1"/>
  <c r="Q95" a="1"/>
  <c r="Q95" s="1"/>
  <c r="O101" a="1"/>
  <c r="O101" s="1"/>
  <c r="Q99" a="1"/>
  <c r="Q99" s="1"/>
  <c r="O97" a="1"/>
  <c r="O97" s="1"/>
  <c r="O95" a="1"/>
  <c r="O95" s="1"/>
  <c r="Q100" a="1"/>
  <c r="Q100" s="1"/>
  <c r="Q94" a="1"/>
  <c r="Q94" s="1"/>
  <c r="O102" a="1"/>
  <c r="O102" s="1"/>
  <c r="O99" a="1"/>
  <c r="O99" s="1"/>
  <c r="O96" a="1"/>
  <c r="O96" s="1"/>
  <c r="Q80" a="1"/>
  <c r="Q80" s="1"/>
  <c r="O78" a="1"/>
  <c r="O78" s="1"/>
  <c r="O76" a="1"/>
  <c r="O76" s="1"/>
  <c r="Q74" a="1"/>
  <c r="Q74" s="1"/>
  <c r="O72" a="1"/>
  <c r="O72" s="1"/>
  <c r="Q75" a="1"/>
  <c r="Q75" s="1"/>
  <c r="Q79" a="1"/>
  <c r="Q79" s="1"/>
  <c r="Q76" a="1"/>
  <c r="Q76" s="1"/>
  <c r="Q73" a="1"/>
  <c r="Q73" s="1"/>
  <c r="O79" a="1"/>
  <c r="O79" s="1"/>
  <c r="Q77" a="1"/>
  <c r="Q77" s="1"/>
  <c r="O75" a="1"/>
  <c r="O75" s="1"/>
  <c r="O73" a="1"/>
  <c r="O73" s="1"/>
  <c r="Q78" a="1"/>
  <c r="Q78" s="1"/>
  <c r="Q72" a="1"/>
  <c r="Q72" s="1"/>
  <c r="O80" a="1"/>
  <c r="O80" s="1"/>
  <c r="O77" a="1"/>
  <c r="O77" s="1"/>
  <c r="O74" a="1"/>
  <c r="O74" s="1"/>
  <c r="Q58" a="1"/>
  <c r="Q58" s="1"/>
  <c r="O57" a="1"/>
  <c r="O57" s="1"/>
  <c r="O56" a="1"/>
  <c r="O56" s="1"/>
  <c r="Q55" a="1"/>
  <c r="Q55" s="1"/>
  <c r="O54" a="1"/>
  <c r="O54" s="1"/>
  <c r="O53" a="1"/>
  <c r="O53" s="1"/>
  <c r="Q52" a="1"/>
  <c r="Q52" s="1"/>
  <c r="Q56" a="1"/>
  <c r="Q56" s="1"/>
  <c r="Q53" a="1"/>
  <c r="Q53" s="1"/>
  <c r="Q50" a="1"/>
  <c r="Q50" s="1"/>
  <c r="O52" a="1"/>
  <c r="O52" s="1"/>
  <c r="Q57" a="1"/>
  <c r="Q57" s="1"/>
  <c r="O58" a="1"/>
  <c r="O58" s="1"/>
  <c r="Q54" a="1"/>
  <c r="Q54" s="1"/>
  <c r="O55" a="1"/>
  <c r="O55" s="1"/>
  <c r="Q51" a="1"/>
  <c r="Q51" s="1"/>
  <c r="O51" a="1"/>
  <c r="O51" s="1"/>
  <c r="O50" a="1"/>
  <c r="O50" s="1"/>
  <c r="Q91" a="1"/>
  <c r="Q91" s="1"/>
  <c r="O89" a="1"/>
  <c r="O89" s="1"/>
  <c r="O87" a="1"/>
  <c r="O87" s="1"/>
  <c r="Q85" a="1"/>
  <c r="Q85" s="1"/>
  <c r="O83" a="1"/>
  <c r="O83" s="1"/>
  <c r="Q86" a="1"/>
  <c r="Q86" s="1"/>
  <c r="Q90" a="1"/>
  <c r="Q90" s="1"/>
  <c r="Q87" a="1"/>
  <c r="Q87" s="1"/>
  <c r="Q84" a="1"/>
  <c r="Q84" s="1"/>
  <c r="O90" a="1"/>
  <c r="O90" s="1"/>
  <c r="Q88" a="1"/>
  <c r="Q88" s="1"/>
  <c r="O86" a="1"/>
  <c r="O86" s="1"/>
  <c r="O84" a="1"/>
  <c r="O84" s="1"/>
  <c r="Q89" a="1"/>
  <c r="Q89" s="1"/>
  <c r="Q83" a="1"/>
  <c r="Q83" s="1"/>
  <c r="O91" a="1"/>
  <c r="O91" s="1"/>
  <c r="O88" a="1"/>
  <c r="O88" s="1"/>
  <c r="O85" a="1"/>
  <c r="O85" s="1"/>
  <c r="P78" a="1"/>
  <c r="P78" s="1"/>
  <c r="P75" a="1"/>
  <c r="P75" s="1"/>
  <c r="N72" a="1"/>
  <c r="N72" s="1"/>
  <c r="N78" a="1"/>
  <c r="N78" s="1"/>
  <c r="N75" a="1"/>
  <c r="N75" s="1"/>
  <c r="P72" a="1"/>
  <c r="P72" s="1"/>
  <c r="P53" a="1"/>
  <c r="P53" s="1"/>
  <c r="N56" a="1"/>
  <c r="N56" s="1"/>
  <c r="N50" a="1"/>
  <c r="N50" s="1"/>
  <c r="P56" a="1"/>
  <c r="P56" s="1"/>
  <c r="P50" a="1"/>
  <c r="P50" s="1"/>
  <c r="N53" a="1"/>
  <c r="N53" s="1"/>
  <c r="P89" a="1"/>
  <c r="P89" s="1"/>
  <c r="P86" a="1"/>
  <c r="P86" s="1"/>
  <c r="N89" a="1"/>
  <c r="N89" s="1"/>
  <c r="N86" a="1"/>
  <c r="N86" s="1"/>
  <c r="N83" a="1"/>
  <c r="N83" s="1"/>
  <c r="P83" a="1"/>
  <c r="P83" s="1"/>
  <c r="P67" a="1"/>
  <c r="P67" s="1"/>
  <c r="P64" a="1"/>
  <c r="P64" s="1"/>
  <c r="P61" a="1"/>
  <c r="P61" s="1"/>
  <c r="N67" a="1"/>
  <c r="N67" s="1"/>
  <c r="N64" a="1"/>
  <c r="N64" s="1"/>
  <c r="N61" a="1"/>
  <c r="N61" s="1"/>
  <c r="P100" a="1"/>
  <c r="P100" s="1"/>
  <c r="P97" a="1"/>
  <c r="P97" s="1"/>
  <c r="P94" a="1"/>
  <c r="P94" s="1"/>
  <c r="N100" a="1"/>
  <c r="N100" s="1"/>
  <c r="N97" a="1"/>
  <c r="N97" s="1"/>
  <c r="N94" a="1"/>
  <c r="N94" s="1"/>
  <c r="C95"/>
  <c r="C94"/>
  <c r="C96"/>
  <c r="B94"/>
  <c r="C98"/>
  <c r="C99"/>
  <c r="C97"/>
  <c r="B97"/>
  <c r="C101"/>
  <c r="C100"/>
  <c r="C102"/>
  <c r="B100"/>
  <c r="E96"/>
  <c r="E95"/>
  <c r="E94"/>
  <c r="D94"/>
  <c r="E99"/>
  <c r="E97"/>
  <c r="E98"/>
  <c r="D97"/>
  <c r="E102"/>
  <c r="E101"/>
  <c r="E100"/>
  <c r="D100"/>
  <c r="C79"/>
  <c r="B78"/>
  <c r="C80"/>
  <c r="C78"/>
  <c r="C73"/>
  <c r="C72"/>
  <c r="C74"/>
  <c r="B72"/>
  <c r="C76"/>
  <c r="C75"/>
  <c r="C77"/>
  <c r="B75"/>
  <c r="E77"/>
  <c r="E75"/>
  <c r="E76"/>
  <c r="D75"/>
  <c r="E80"/>
  <c r="E79"/>
  <c r="E78"/>
  <c r="D78"/>
  <c r="C84"/>
  <c r="C83"/>
  <c r="C85"/>
  <c r="B83"/>
  <c r="C87"/>
  <c r="C86"/>
  <c r="C88"/>
  <c r="B86"/>
  <c r="C90"/>
  <c r="C91"/>
  <c r="C89"/>
  <c r="B89"/>
  <c r="E85"/>
  <c r="E83"/>
  <c r="E84"/>
  <c r="D83"/>
  <c r="E88"/>
  <c r="E87"/>
  <c r="E86"/>
  <c r="D86"/>
  <c r="E91"/>
  <c r="E89"/>
  <c r="E90"/>
  <c r="D89"/>
  <c r="C62"/>
  <c r="C61"/>
  <c r="C63"/>
  <c r="C65"/>
  <c r="C64"/>
  <c r="C66"/>
  <c r="B64"/>
  <c r="C68"/>
  <c r="C67"/>
  <c r="C69"/>
  <c r="B67"/>
  <c r="E63"/>
  <c r="E61"/>
  <c r="E62"/>
  <c r="D61"/>
  <c r="E66"/>
  <c r="E65"/>
  <c r="E64"/>
  <c r="D64"/>
  <c r="E69"/>
  <c r="E67"/>
  <c r="E68"/>
  <c r="D67"/>
  <c r="C54"/>
  <c r="C55"/>
  <c r="E58"/>
  <c r="E57"/>
  <c r="E56"/>
  <c r="D56"/>
  <c r="E74"/>
  <c r="E73"/>
  <c r="E72"/>
  <c r="D72"/>
  <c r="E52"/>
  <c r="E51"/>
  <c r="E50"/>
  <c r="D50"/>
  <c r="C51"/>
  <c r="C50"/>
  <c r="C52"/>
  <c r="B50"/>
  <c r="E54"/>
  <c r="D53"/>
  <c r="E55"/>
  <c r="E53"/>
  <c r="F41"/>
  <c r="D41" s="1"/>
  <c r="R50" i="2"/>
  <c r="H41" i="3" s="1"/>
  <c r="H45"/>
  <c r="F45"/>
  <c r="D45" s="1"/>
  <c r="H42"/>
  <c r="F42"/>
  <c r="D42" s="1"/>
  <c r="H44"/>
  <c r="F44"/>
  <c r="D44" s="1"/>
  <c r="G103" a="1"/>
  <c r="G103" s="1"/>
  <c r="H43"/>
  <c r="F43"/>
  <c r="D43" s="1"/>
  <c r="G96" l="1"/>
  <c r="G94"/>
  <c r="G95"/>
  <c r="F94"/>
  <c r="G99"/>
  <c r="G98"/>
  <c r="G97"/>
  <c r="F97"/>
  <c r="G102"/>
  <c r="G100"/>
  <c r="G101"/>
  <c r="F100"/>
  <c r="I95"/>
  <c r="I96"/>
  <c r="I94"/>
  <c r="H94"/>
  <c r="I98"/>
  <c r="I97"/>
  <c r="I99"/>
  <c r="H97"/>
  <c r="I101"/>
  <c r="I102"/>
  <c r="I100"/>
  <c r="H100"/>
  <c r="G63"/>
  <c r="G62"/>
  <c r="G61"/>
  <c r="F61"/>
  <c r="G66"/>
  <c r="G64"/>
  <c r="G65"/>
  <c r="F64"/>
  <c r="G69"/>
  <c r="G68"/>
  <c r="G67"/>
  <c r="F67"/>
  <c r="I63"/>
  <c r="I61"/>
  <c r="I62"/>
  <c r="H61"/>
  <c r="I66"/>
  <c r="I65"/>
  <c r="I64"/>
  <c r="H64"/>
  <c r="I69"/>
  <c r="I67"/>
  <c r="I68"/>
  <c r="H67"/>
  <c r="I85"/>
  <c r="I83"/>
  <c r="I84"/>
  <c r="H83"/>
  <c r="I88"/>
  <c r="I87"/>
  <c r="I86"/>
  <c r="H86"/>
  <c r="I90"/>
  <c r="I89"/>
  <c r="I91"/>
  <c r="H89"/>
  <c r="G55"/>
  <c r="G54"/>
  <c r="G53"/>
  <c r="F53"/>
  <c r="I58"/>
  <c r="I57"/>
  <c r="I56"/>
  <c r="H56"/>
  <c r="G57"/>
  <c r="F56"/>
  <c r="G58"/>
  <c r="G56"/>
  <c r="G77"/>
  <c r="G76"/>
  <c r="G75"/>
  <c r="F75"/>
  <c r="G80"/>
  <c r="G78"/>
  <c r="G79"/>
  <c r="F78"/>
  <c r="G74"/>
  <c r="G72"/>
  <c r="G73"/>
  <c r="F72"/>
  <c r="I77"/>
  <c r="I75"/>
  <c r="I76"/>
  <c r="H75"/>
  <c r="I80"/>
  <c r="I79"/>
  <c r="I78"/>
  <c r="H78"/>
  <c r="G85"/>
  <c r="G84"/>
  <c r="G83"/>
  <c r="F83"/>
  <c r="G88"/>
  <c r="G86"/>
  <c r="G87"/>
  <c r="F86"/>
  <c r="G91"/>
  <c r="G90"/>
  <c r="G89"/>
  <c r="F89"/>
  <c r="I52"/>
  <c r="I51"/>
  <c r="I50"/>
  <c r="H50"/>
  <c r="G51"/>
  <c r="F50"/>
  <c r="G52"/>
  <c r="G50"/>
  <c r="I54"/>
  <c r="H53"/>
  <c r="I55"/>
  <c r="I53"/>
  <c r="I74"/>
  <c r="I73"/>
  <c r="I72"/>
  <c r="H72"/>
  <c r="L2" i="4"/>
  <c r="F4" s="1"/>
  <c r="K2"/>
  <c r="D4" s="1"/>
  <c r="E50" l="1"/>
  <c r="I5" l="1"/>
  <c r="G50" i="2" l="1"/>
  <c r="F50"/>
  <c r="E50"/>
  <c r="D50"/>
  <c r="C50"/>
  <c r="I6" i="4"/>
  <c r="I7"/>
  <c r="I8"/>
  <c r="I9"/>
  <c r="I10"/>
  <c r="I11"/>
  <c r="I12"/>
  <c r="I13"/>
  <c r="I14"/>
  <c r="I15"/>
  <c r="I16"/>
  <c r="I17"/>
  <c r="I18"/>
  <c r="I19"/>
  <c r="I20"/>
  <c r="I21"/>
  <c r="I22"/>
  <c r="I23"/>
  <c r="I24"/>
  <c r="I25"/>
  <c r="I26"/>
  <c r="I27"/>
  <c r="I28"/>
  <c r="I29"/>
  <c r="I30"/>
  <c r="I31"/>
  <c r="I32"/>
  <c r="I33"/>
  <c r="I34"/>
  <c r="I35"/>
  <c r="I36"/>
  <c r="I37"/>
  <c r="I38"/>
  <c r="I40"/>
  <c r="I41"/>
  <c r="I42"/>
  <c r="I43"/>
  <c r="I44"/>
  <c r="I45"/>
  <c r="I46"/>
  <c r="I47"/>
  <c r="I48"/>
  <c r="I49"/>
  <c r="G6"/>
  <c r="G7"/>
  <c r="G8"/>
  <c r="G9"/>
  <c r="G10"/>
  <c r="G11"/>
  <c r="G12"/>
  <c r="G13"/>
  <c r="G14"/>
  <c r="G15"/>
  <c r="G16"/>
  <c r="G17"/>
  <c r="G18"/>
  <c r="G19"/>
  <c r="G20"/>
  <c r="G21"/>
  <c r="G22"/>
  <c r="G23"/>
  <c r="G24"/>
  <c r="G25"/>
  <c r="G26"/>
  <c r="G27"/>
  <c r="G28"/>
  <c r="G29"/>
  <c r="G30"/>
  <c r="G31"/>
  <c r="G32"/>
  <c r="G33"/>
  <c r="G34"/>
  <c r="G35"/>
  <c r="G36"/>
  <c r="G37"/>
  <c r="G38"/>
  <c r="G40"/>
  <c r="G41"/>
  <c r="G42"/>
  <c r="G43"/>
  <c r="G44"/>
  <c r="G45"/>
  <c r="G46"/>
  <c r="G47"/>
  <c r="G48"/>
  <c r="G49"/>
  <c r="G5"/>
  <c r="D50"/>
  <c r="H50" s="1"/>
  <c r="F50"/>
  <c r="J50" s="1"/>
  <c r="M17" i="3" l="1" a="1"/>
  <c r="M17" s="1"/>
  <c r="M16" a="1"/>
  <c r="M16" s="1"/>
  <c r="K18" a="1"/>
  <c r="K18" s="1"/>
  <c r="M14" a="1"/>
  <c r="M14" s="1"/>
  <c r="M13" a="1"/>
  <c r="M13" s="1"/>
  <c r="K15" a="1"/>
  <c r="K15" s="1"/>
  <c r="M11" a="1"/>
  <c r="M11" s="1"/>
  <c r="M10" a="1"/>
  <c r="M10" s="1"/>
  <c r="K12" a="1"/>
  <c r="K12" s="1"/>
  <c r="M18" a="1"/>
  <c r="M18" s="1"/>
  <c r="K17" a="1"/>
  <c r="K17" s="1"/>
  <c r="K16" a="1"/>
  <c r="K16" s="1"/>
  <c r="M15" a="1"/>
  <c r="M15" s="1"/>
  <c r="K14" a="1"/>
  <c r="K14" s="1"/>
  <c r="K13" a="1"/>
  <c r="K13" s="1"/>
  <c r="M12" a="1"/>
  <c r="M12" s="1"/>
  <c r="K11" a="1"/>
  <c r="K11" s="1"/>
  <c r="K10" a="1"/>
  <c r="K10" s="1"/>
  <c r="L30" a="1"/>
  <c r="L30" s="1"/>
  <c r="D30" s="1"/>
  <c r="K27" a="1"/>
  <c r="K27" s="1"/>
  <c r="M27" a="1"/>
  <c r="M27" s="1"/>
  <c r="K32" a="1"/>
  <c r="K32" s="1"/>
  <c r="M31" a="1"/>
  <c r="M31" s="1"/>
  <c r="E31" s="1"/>
  <c r="M33" a="1"/>
  <c r="M33" s="1"/>
  <c r="K29" a="1"/>
  <c r="K29" s="1"/>
  <c r="K30" a="1"/>
  <c r="K30" s="1"/>
  <c r="M32" a="1"/>
  <c r="M32" s="1"/>
  <c r="K34" a="1"/>
  <c r="K34" s="1"/>
  <c r="K28" a="1"/>
  <c r="K28" s="1"/>
  <c r="M28" a="1"/>
  <c r="M28" s="1"/>
  <c r="M30" a="1"/>
  <c r="M30" s="1"/>
  <c r="E30" s="1"/>
  <c r="K35" a="1"/>
  <c r="K35" s="1"/>
  <c r="M34" a="1"/>
  <c r="M34" s="1"/>
  <c r="M29" a="1"/>
  <c r="M29" s="1"/>
  <c r="K31" a="1"/>
  <c r="K31" s="1"/>
  <c r="K33" a="1"/>
  <c r="K33" s="1"/>
  <c r="M35" a="1"/>
  <c r="M35" s="1"/>
  <c r="L13" a="1"/>
  <c r="L13" s="1"/>
  <c r="J16" a="1"/>
  <c r="J16" s="1"/>
  <c r="J10" a="1"/>
  <c r="J10" s="1"/>
  <c r="L16" a="1"/>
  <c r="L16" s="1"/>
  <c r="L10" a="1"/>
  <c r="L10" s="1"/>
  <c r="J13" a="1"/>
  <c r="J13" s="1"/>
  <c r="J30" a="1"/>
  <c r="J30" s="1"/>
  <c r="J27" a="1"/>
  <c r="J27" s="1"/>
  <c r="L33" a="1"/>
  <c r="L33" s="1"/>
  <c r="L27" a="1"/>
  <c r="L27" s="1"/>
  <c r="J33" a="1"/>
  <c r="J33" s="1"/>
  <c r="H23"/>
  <c r="H6"/>
  <c r="F182"/>
  <c r="F180"/>
  <c r="C180" s="1"/>
  <c r="F181"/>
  <c r="F183"/>
  <c r="F184"/>
  <c r="I50" i="4"/>
  <c r="F23" i="3" s="1"/>
  <c r="E22" s="1"/>
  <c r="G50" i="4"/>
  <c r="F6" i="3" s="1"/>
  <c r="E5" s="1"/>
  <c r="E32" l="1"/>
  <c r="E28"/>
  <c r="E29"/>
  <c r="E27"/>
  <c r="D27"/>
  <c r="E34"/>
  <c r="E33"/>
  <c r="E35"/>
  <c r="D33"/>
  <c r="C31"/>
  <c r="C30"/>
  <c r="C32"/>
  <c r="B30"/>
  <c r="E12"/>
  <c r="E11"/>
  <c r="E10"/>
  <c r="D10"/>
  <c r="C18"/>
  <c r="C16"/>
  <c r="C17"/>
  <c r="B16"/>
  <c r="C34"/>
  <c r="C33"/>
  <c r="C35"/>
  <c r="B33"/>
  <c r="C28"/>
  <c r="C27"/>
  <c r="C29"/>
  <c r="B27"/>
  <c r="C14"/>
  <c r="C15"/>
  <c r="C13"/>
  <c r="B13"/>
  <c r="E18"/>
  <c r="E17"/>
  <c r="E16"/>
  <c r="D16"/>
  <c r="C12"/>
  <c r="C10"/>
  <c r="C11"/>
  <c r="B10"/>
  <c r="E15"/>
  <c r="E13"/>
  <c r="E14"/>
  <c r="D13"/>
  <c r="H184"/>
  <c r="C184"/>
  <c r="H181"/>
  <c r="C181"/>
  <c r="H183"/>
  <c r="C183"/>
  <c r="H182"/>
  <c r="C182"/>
  <c r="H180"/>
  <c r="F187"/>
  <c r="C51" i="1"/>
  <c r="I51"/>
  <c r="H187" i="3" l="1"/>
  <c r="E186"/>
  <c r="E51" i="1"/>
  <c r="F45"/>
  <c r="F46"/>
  <c r="F47"/>
  <c r="F48"/>
  <c r="F49"/>
  <c r="F50"/>
  <c r="J50"/>
  <c r="N50" s="1"/>
  <c r="P50" s="1"/>
  <c r="D51"/>
  <c r="G51"/>
  <c r="J45"/>
  <c r="J46"/>
  <c r="N46" s="1"/>
  <c r="P46" s="1"/>
  <c r="J47"/>
  <c r="N47" s="1"/>
  <c r="P47" s="1"/>
  <c r="J48"/>
  <c r="N48" s="1"/>
  <c r="P48" s="1"/>
  <c r="J49"/>
  <c r="N49" s="1"/>
  <c r="P49" s="1"/>
  <c r="H51"/>
  <c r="J51" l="1"/>
  <c r="F51"/>
  <c r="M50"/>
  <c r="O50" s="1"/>
  <c r="M48"/>
  <c r="O48" s="1"/>
  <c r="M46"/>
  <c r="O46" s="1"/>
  <c r="N45"/>
  <c r="N51" s="1"/>
  <c r="P51" s="1"/>
  <c r="M49"/>
  <c r="O49" s="1"/>
  <c r="M47"/>
  <c r="O47" s="1"/>
  <c r="M45"/>
  <c r="M132" i="3" l="1" a="1"/>
  <c r="M132" s="1"/>
  <c r="K130" a="1"/>
  <c r="K130" s="1"/>
  <c r="K128" a="1"/>
  <c r="K128" s="1"/>
  <c r="M126" a="1"/>
  <c r="M126" s="1"/>
  <c r="K124" a="1"/>
  <c r="K124" s="1"/>
  <c r="M130" a="1"/>
  <c r="M130" s="1"/>
  <c r="M128" a="1"/>
  <c r="M128" s="1"/>
  <c r="K129" a="1"/>
  <c r="K129" s="1"/>
  <c r="M124" a="1"/>
  <c r="M124" s="1"/>
  <c r="K131" a="1"/>
  <c r="K131" s="1"/>
  <c r="M129" a="1"/>
  <c r="M129" s="1"/>
  <c r="K127" a="1"/>
  <c r="K127" s="1"/>
  <c r="K125" a="1"/>
  <c r="K125" s="1"/>
  <c r="M131" a="1"/>
  <c r="M131" s="1"/>
  <c r="K132" a="1"/>
  <c r="K132" s="1"/>
  <c r="M127" a="1"/>
  <c r="M127" s="1"/>
  <c r="M125" a="1"/>
  <c r="M125" s="1"/>
  <c r="K126" a="1"/>
  <c r="K126" s="1"/>
  <c r="M121" a="1"/>
  <c r="M121" s="1"/>
  <c r="K119" a="1"/>
  <c r="K119" s="1"/>
  <c r="K117" a="1"/>
  <c r="K117" s="1"/>
  <c r="M115" a="1"/>
  <c r="M115" s="1"/>
  <c r="K113" a="1"/>
  <c r="K113" s="1"/>
  <c r="M119" a="1"/>
  <c r="M119" s="1"/>
  <c r="M117" a="1"/>
  <c r="M117" s="1"/>
  <c r="K118" a="1"/>
  <c r="K118" s="1"/>
  <c r="M113" a="1"/>
  <c r="M113" s="1"/>
  <c r="K120" a="1"/>
  <c r="K120" s="1"/>
  <c r="M118" a="1"/>
  <c r="M118" s="1"/>
  <c r="K116" a="1"/>
  <c r="K116" s="1"/>
  <c r="K114" a="1"/>
  <c r="K114" s="1"/>
  <c r="M120" a="1"/>
  <c r="M120" s="1"/>
  <c r="K121" a="1"/>
  <c r="K121" s="1"/>
  <c r="M116" a="1"/>
  <c r="M116" s="1"/>
  <c r="M114" a="1"/>
  <c r="M114" s="1"/>
  <c r="K115" a="1"/>
  <c r="K115" s="1"/>
  <c r="P45" i="1"/>
  <c r="J130" i="3" a="1"/>
  <c r="J130" s="1"/>
  <c r="J127" a="1"/>
  <c r="J127" s="1"/>
  <c r="J124" a="1"/>
  <c r="J124" s="1"/>
  <c r="L130" a="1"/>
  <c r="L130" s="1"/>
  <c r="L127" a="1"/>
  <c r="L127" s="1"/>
  <c r="L124" a="1"/>
  <c r="L124" s="1"/>
  <c r="O45" i="1"/>
  <c r="L116" i="3" a="1"/>
  <c r="L116" s="1"/>
  <c r="L113" a="1"/>
  <c r="L113" s="1"/>
  <c r="L119" a="1"/>
  <c r="L119" s="1"/>
  <c r="J116" a="1"/>
  <c r="J116" s="1"/>
  <c r="J113" a="1"/>
  <c r="J113" s="1"/>
  <c r="J119" a="1"/>
  <c r="J119" s="1"/>
  <c r="H108"/>
  <c r="F108"/>
  <c r="D108" s="1"/>
  <c r="M51" i="1"/>
  <c r="O51" s="1"/>
  <c r="Q132" i="3" l="1" a="1"/>
  <c r="Q132" s="1"/>
  <c r="O130" a="1"/>
  <c r="O130" s="1"/>
  <c r="O128" a="1"/>
  <c r="O128" s="1"/>
  <c r="Q126" a="1"/>
  <c r="Q126" s="1"/>
  <c r="O124" a="1"/>
  <c r="O124" s="1"/>
  <c r="Q130" a="1"/>
  <c r="Q130" s="1"/>
  <c r="Q128" a="1"/>
  <c r="Q128" s="1"/>
  <c r="O129" a="1"/>
  <c r="O129" s="1"/>
  <c r="Q124" a="1"/>
  <c r="Q124" s="1"/>
  <c r="O131" a="1"/>
  <c r="O131" s="1"/>
  <c r="Q129" a="1"/>
  <c r="Q129" s="1"/>
  <c r="O127" a="1"/>
  <c r="O127" s="1"/>
  <c r="O125" a="1"/>
  <c r="O125" s="1"/>
  <c r="Q131" a="1"/>
  <c r="Q131" s="1"/>
  <c r="O132" a="1"/>
  <c r="O132" s="1"/>
  <c r="Q127" a="1"/>
  <c r="Q127" s="1"/>
  <c r="Q125" a="1"/>
  <c r="Q125" s="1"/>
  <c r="O126" a="1"/>
  <c r="O126" s="1"/>
  <c r="Q121" a="1"/>
  <c r="Q121" s="1"/>
  <c r="O119" a="1"/>
  <c r="O119" s="1"/>
  <c r="O117" a="1"/>
  <c r="O117" s="1"/>
  <c r="Q115" a="1"/>
  <c r="Q115" s="1"/>
  <c r="O113" a="1"/>
  <c r="O113" s="1"/>
  <c r="Q119" a="1"/>
  <c r="Q119" s="1"/>
  <c r="Q117" a="1"/>
  <c r="Q117" s="1"/>
  <c r="O118" a="1"/>
  <c r="O118" s="1"/>
  <c r="Q113" a="1"/>
  <c r="Q113" s="1"/>
  <c r="O120" a="1"/>
  <c r="O120" s="1"/>
  <c r="Q118" a="1"/>
  <c r="Q118" s="1"/>
  <c r="O116" a="1"/>
  <c r="O116" s="1"/>
  <c r="O114" a="1"/>
  <c r="O114" s="1"/>
  <c r="Q120" a="1"/>
  <c r="Q120" s="1"/>
  <c r="O121" a="1"/>
  <c r="O121" s="1"/>
  <c r="Q116" a="1"/>
  <c r="Q116" s="1"/>
  <c r="Q114" a="1"/>
  <c r="Q114" s="1"/>
  <c r="O115" a="1"/>
  <c r="O115" s="1"/>
  <c r="C120"/>
  <c r="C121"/>
  <c r="C119"/>
  <c r="B119"/>
  <c r="C115"/>
  <c r="C113"/>
  <c r="C114"/>
  <c r="B113"/>
  <c r="C117"/>
  <c r="C116"/>
  <c r="C118"/>
  <c r="B116"/>
  <c r="E120"/>
  <c r="E121"/>
  <c r="E119"/>
  <c r="D119"/>
  <c r="E114"/>
  <c r="E115"/>
  <c r="E113"/>
  <c r="D113"/>
  <c r="E117"/>
  <c r="E116"/>
  <c r="E118"/>
  <c r="D116"/>
  <c r="P116" a="1"/>
  <c r="P116" s="1"/>
  <c r="N116" a="1"/>
  <c r="N116" s="1"/>
  <c r="N113" a="1"/>
  <c r="N113" s="1"/>
  <c r="N119" a="1"/>
  <c r="N119" s="1"/>
  <c r="P113" a="1"/>
  <c r="P113" s="1"/>
  <c r="P119" a="1"/>
  <c r="P119" s="1"/>
  <c r="E125"/>
  <c r="E124"/>
  <c r="E126"/>
  <c r="D124"/>
  <c r="E128"/>
  <c r="E129"/>
  <c r="E127"/>
  <c r="D127"/>
  <c r="E131"/>
  <c r="E130"/>
  <c r="E132"/>
  <c r="D130"/>
  <c r="C125"/>
  <c r="C124"/>
  <c r="C126"/>
  <c r="B124"/>
  <c r="C128"/>
  <c r="C129"/>
  <c r="C127"/>
  <c r="B127"/>
  <c r="C131"/>
  <c r="C130"/>
  <c r="C132"/>
  <c r="B130"/>
  <c r="N130" a="1"/>
  <c r="N130" s="1"/>
  <c r="N127" a="1"/>
  <c r="N127" s="1"/>
  <c r="N124" a="1"/>
  <c r="N124" s="1"/>
  <c r="P130" a="1"/>
  <c r="P130" s="1"/>
  <c r="P127" a="1"/>
  <c r="P127" s="1"/>
  <c r="P124" a="1"/>
  <c r="P124" s="1"/>
  <c r="H107"/>
  <c r="F107"/>
  <c r="D107" s="1"/>
  <c r="D186"/>
  <c r="I128" l="1"/>
  <c r="I129"/>
  <c r="I127"/>
  <c r="H127"/>
  <c r="I125"/>
  <c r="I124"/>
  <c r="I126"/>
  <c r="H124"/>
  <c r="I131"/>
  <c r="I130"/>
  <c r="I132"/>
  <c r="H130"/>
  <c r="G125"/>
  <c r="G124"/>
  <c r="G126"/>
  <c r="F124"/>
  <c r="G128"/>
  <c r="G129"/>
  <c r="G127"/>
  <c r="F127"/>
  <c r="G130"/>
  <c r="G131"/>
  <c r="G132"/>
  <c r="F130"/>
  <c r="I120"/>
  <c r="I121"/>
  <c r="I119"/>
  <c r="H119"/>
  <c r="I114"/>
  <c r="I113"/>
  <c r="I115"/>
  <c r="H113"/>
  <c r="G120"/>
  <c r="G121"/>
  <c r="G119"/>
  <c r="F119"/>
  <c r="G114"/>
  <c r="G115"/>
  <c r="G113"/>
  <c r="F113"/>
  <c r="G117"/>
  <c r="G116"/>
  <c r="G118"/>
  <c r="F116"/>
  <c r="I117"/>
  <c r="I116"/>
  <c r="I118"/>
  <c r="H116"/>
</calcChain>
</file>

<file path=xl/sharedStrings.xml><?xml version="1.0" encoding="utf-8"?>
<sst xmlns="http://schemas.openxmlformats.org/spreadsheetml/2006/main" count="659" uniqueCount="130">
  <si>
    <t>HOMBRES</t>
  </si>
  <si>
    <t>MUJERES</t>
  </si>
  <si>
    <t>&lt;25 AÑOS</t>
  </si>
  <si>
    <t>25 - 44</t>
  </si>
  <si>
    <t>TOTAL</t>
  </si>
  <si>
    <t>ALGAR</t>
  </si>
  <si>
    <t>ALGECIRAS</t>
  </si>
  <si>
    <t xml:space="preserve">ALGODONALES </t>
  </si>
  <si>
    <t>BARBATE</t>
  </si>
  <si>
    <t>BARRIOS (LOS)</t>
  </si>
  <si>
    <t>BENALUP</t>
  </si>
  <si>
    <t>BENAOCAZ</t>
  </si>
  <si>
    <t>BORNOS</t>
  </si>
  <si>
    <t>BOSQUE (EL)</t>
  </si>
  <si>
    <t xml:space="preserve">CADIZ </t>
  </si>
  <si>
    <t>CHIPIONA</t>
  </si>
  <si>
    <t>ESPERA</t>
  </si>
  <si>
    <t>GASTOR (EL)</t>
  </si>
  <si>
    <t>GRAZALEMA</t>
  </si>
  <si>
    <t>OLVERA</t>
  </si>
  <si>
    <t>ROTA</t>
  </si>
  <si>
    <t>SAN FERNANDO</t>
  </si>
  <si>
    <t>SAN ROQUE</t>
  </si>
  <si>
    <t>TARIFA</t>
  </si>
  <si>
    <t>TREBUJENA</t>
  </si>
  <si>
    <t>UBRIQUE</t>
  </si>
  <si>
    <t>VILLAMARTIN</t>
  </si>
  <si>
    <t>INDUSTRIA</t>
  </si>
  <si>
    <t>SERVICIOS</t>
  </si>
  <si>
    <t>S.E.A.</t>
  </si>
  <si>
    <t>ALCALÁ DE LOS GAZULES</t>
  </si>
  <si>
    <t>ALCALÁ DEL VALLE</t>
  </si>
  <si>
    <t>CASTELLAR DE LA FRONTERA</t>
  </si>
  <si>
    <t>CONIL DE LA FRONTERA</t>
  </si>
  <si>
    <t>CHICLANA DE LA FRONTERA</t>
  </si>
  <si>
    <t>LA LINEA DE LA CONCEPCIÓN</t>
  </si>
  <si>
    <t>MEDINA SIDONIA</t>
  </si>
  <si>
    <t>PATERNA DE RIVERA</t>
  </si>
  <si>
    <t>PRADO DEL REY</t>
  </si>
  <si>
    <t>EL PUERTO DE SANTA MARÍA</t>
  </si>
  <si>
    <t>PUERTO REAL</t>
  </si>
  <si>
    <t>PUERTO SERRANO</t>
  </si>
  <si>
    <t>SAN JOSÉ DEL VALLE</t>
  </si>
  <si>
    <t>SETENIL DE LAS BODEGAS</t>
  </si>
  <si>
    <t>TORRE ALHÁQUIME</t>
  </si>
  <si>
    <t>VEJER DE LA FRONTERA</t>
  </si>
  <si>
    <t>VILLALUENGA DEL ROSARIO</t>
  </si>
  <si>
    <t>ZAHARA DE LA SIERRA</t>
  </si>
  <si>
    <t>TOTAL PROVINCIAL</t>
  </si>
  <si>
    <t>VARIACIÓN INTERMENSUAL</t>
  </si>
  <si>
    <t>VARIACIÓN INTERANUAL</t>
  </si>
  <si>
    <t>Absoluta</t>
  </si>
  <si>
    <t>Relativa</t>
  </si>
  <si>
    <t>RANGOS DE POBLACIÓN</t>
  </si>
  <si>
    <t>Entre 5000-20000</t>
  </si>
  <si>
    <t>Menor 5000</t>
  </si>
  <si>
    <t>Mayor 20000</t>
  </si>
  <si>
    <t>MUNICIPIOS DE LA PROVINCIA</t>
  </si>
  <si>
    <t>MES ANTERIOR:</t>
  </si>
  <si>
    <t>MES ACTUAL:</t>
  </si>
  <si>
    <t>MISMO MES AÑO ANTERIOR:</t>
  </si>
  <si>
    <t>VARIACIÓN EN VALORES ABSOLUTOS</t>
  </si>
  <si>
    <t>VARIACIÓN EN VALORES RELATIVOS</t>
  </si>
  <si>
    <t xml:space="preserve">MES ACTUAL: </t>
  </si>
  <si>
    <t>CONSTRUCC.</t>
  </si>
  <si>
    <t>INFORME DEL PARO REGISTRADO POR MUNICIPIOS</t>
  </si>
  <si>
    <t>&lt; 25 AÑOS</t>
  </si>
  <si>
    <t>25 - 44 AÑOS</t>
  </si>
  <si>
    <t>≥ 45 AÑOS</t>
  </si>
  <si>
    <t>VARIACIÓN ABSOLUTA</t>
  </si>
  <si>
    <t>VARIACIÓN RELATIVA</t>
  </si>
  <si>
    <r>
      <rPr>
        <b/>
        <sz val="10"/>
        <rFont val="Calibri"/>
        <family val="2"/>
      </rPr>
      <t>≥</t>
    </r>
    <r>
      <rPr>
        <b/>
        <sz val="10"/>
        <rFont val="Andalus"/>
        <family val="1"/>
      </rPr>
      <t xml:space="preserve"> 45 AÑOS</t>
    </r>
  </si>
  <si>
    <t>SECTOR DE LA AGRICULTURA</t>
  </si>
  <si>
    <t>SECTOR DE LA INDUSTRIA</t>
  </si>
  <si>
    <t>SECTOR DE LA CONSTRUCCIÓN</t>
  </si>
  <si>
    <t>SECTOR SERVICIOS</t>
  </si>
  <si>
    <t>SIN EMPLEO ANTERIOR (S.E.A)</t>
  </si>
  <si>
    <t>TOTAL VARIACIÓN PROVINCIA DE CÁDIZ</t>
  </si>
  <si>
    <t>SECTORES ECONÓMICOS</t>
  </si>
  <si>
    <t>EDAD</t>
  </si>
  <si>
    <t>ENTRE 25 Y 44 AÑOS</t>
  </si>
  <si>
    <t>BALANCE DE EVOLUCIÓN MENSUAL DE PARO REGISTRADO EN LA PROVINCIA DE CÁDIZ</t>
  </si>
  <si>
    <t>SUBE MÁS EN:</t>
  </si>
  <si>
    <t>BAJA MÁS EN:</t>
  </si>
  <si>
    <t>COMPARATIVA VALORES INTERMENSUALES E INTERANUALES</t>
  </si>
  <si>
    <t>SEXO</t>
  </si>
  <si>
    <t>SIERRA DE CÁDIZ</t>
  </si>
  <si>
    <t>BAHÍA DE CÁDIZ</t>
  </si>
  <si>
    <t>TOTAL PROVINCIA</t>
  </si>
  <si>
    <t>LOCALIDADES</t>
  </si>
  <si>
    <t>COMARCAS</t>
  </si>
  <si>
    <t>JANDA</t>
  </si>
  <si>
    <t>CAMPO DE GIBRALTAR</t>
  </si>
  <si>
    <t>JEREZ-COSTA NOROESTE</t>
  </si>
  <si>
    <t xml:space="preserve">Municipio destacado menor de 5.000 habitantes.  </t>
  </si>
  <si>
    <t xml:space="preserve">Municipio destacado comprendido entre 5.000 y 20.000 habitantes. </t>
  </si>
  <si>
    <t xml:space="preserve">Municipio destacado mayor de 20.000 habitantes. </t>
  </si>
  <si>
    <t>PREÁMBULO</t>
  </si>
  <si>
    <t>COMPARATIVA INTERMENSUAL DE PARO REGISTRADO POR SECTORES ECONÓMICOS</t>
  </si>
  <si>
    <t>COMPARATIVA INTERMENSUAL DE PARO REGISTRADO POR SEXO</t>
  </si>
  <si>
    <t>COMPARATIVA INTERMENSUAL DE PARO REGISTRADO POR EDAD</t>
  </si>
  <si>
    <t>ÍNDICE</t>
  </si>
  <si>
    <t>página 1</t>
  </si>
  <si>
    <t>página 2</t>
  </si>
  <si>
    <t>página 3</t>
  </si>
  <si>
    <t>página 4</t>
  </si>
  <si>
    <t>página 5</t>
  </si>
  <si>
    <t>página 6</t>
  </si>
  <si>
    <t>Preámbulo</t>
  </si>
  <si>
    <t>Comparativa valores intermensuales e interanuales</t>
  </si>
  <si>
    <t>Comparativa intermensual de paro registrado por sectores económicos</t>
  </si>
  <si>
    <t>Comparativa intermensual de paro registrado por sexo</t>
  </si>
  <si>
    <t>Comparativa intermensual de paro registrado por edad</t>
  </si>
  <si>
    <t>Balance de evolución mensual de paro registrado en la provincia de Cádiz</t>
  </si>
  <si>
    <t>JEREZ DE LA FRONTERA</t>
  </si>
  <si>
    <t>ARCOS DE LA FRONTERA</t>
  </si>
  <si>
    <t>AGRICULT.</t>
  </si>
  <si>
    <t>Portada</t>
  </si>
  <si>
    <t>página 7</t>
  </si>
  <si>
    <t>El Municipio es la entidad local básica de la organización territorial del Estado (art. 11 de la Ley 7/1985, de 2 de abril, reguladora de las Bases del Régimen Local). Al resultar necesario la disponibilidad de información detallada de los movimientos laborales más básicos como son el Paro Registrado y el número y tipología de contrataciones, el Servicio Público de Empleo Estatal (SEPE) ofrece mensualmente estas estadísticas provinciales desglosadas por municipio.</t>
  </si>
  <si>
    <t>El Paro Registrado - que incluye a personas que tengan demandas pendientes de satisfacer el último día del mes en las Oficinas de Empleo correspondientes, exceptuando las que se encuentren en determinadas situaciones detalladas en la Orden Ministerial de marzo de 1985  (pluriempleo, mejora de empleo, colectivos TEAS, otras situaciones especiales….) - es uno de los principales indicadores que el Servicio Público de Empleo Estatal publica mensualmente y es el que recibe gran atención por parte de los medios de comunicación y opinión pública en general.</t>
  </si>
  <si>
    <t>Como hemos dicho anteriormente, de entre sus series estadísticas con distinto nivel de detalle y desglose, una de ellas ofrece la evolución del mencionado paro registrado por municipio de cada  provincia, y se desglosa éste por sexo, edad (menos de 25 años, de 25 a 44 y 45 o más años) y sector de actividad económica (Agricultura, Industria, Construcción, Servicios).</t>
  </si>
  <si>
    <t>Así, en los informes desglosados comparativos se sombrean de menor a mayor intensidad las celdas correspondientes de cada uno de los rangos, según la siguiente ejemplificación:</t>
  </si>
  <si>
    <t xml:space="preserve">Además, al objeto de que puedan interpretarse con mayor facilidad las variaciones acaecidas en cada una de las tablas se han establecido  tres rangos poblacionales (localidades menores de 5.000 habitantes, localidades comprendidas entre 5.000 y 20.000 habitantes y localidades mayores de 20.000), distinguiéndose para cada uno de estos rangos los 3 valores de mayor y menor variación tanto absoluta como relativa. </t>
  </si>
  <si>
    <t>El número en color verde, aunque estrictamente viene a significar una de las tres variaciones más positivas para la serie considerada, implica normalmente bajada de paro. Con análogo razonamiento, el número en color rojo, que señala una de las tres variaciones más desfavorables de la serie considerada,  habitualmente implicará subida del paro.</t>
  </si>
  <si>
    <t>En  último lugar se ofrece un balance concluyente donde vienen a reflejarse tan sólo aquellas  variaciones asociadas a bajadas y subidas de paro registrado en cada una de las tablas precedentes.  Finalmente dentro del propio balance, a título informativo, se ofrece por comarcas la evolución del paro registrado para el mes considerado.</t>
  </si>
  <si>
    <t>SAN MARTÍN DEL TESORILLO</t>
  </si>
  <si>
    <t>JIMENA DE LA FRONTERA</t>
  </si>
  <si>
    <t>SANLÚCAR DE BARRAMEDA</t>
  </si>
  <si>
    <t>El presente informe mensual, complementario al Informe trimestral relativo a contrataciones, pretender ofrecer  un análisis cuantitativo de la evolución del Paro Registrado en la provincia de Cádiz, siempre en clave de detalle municipal, con comparativas mensuales sobre estos aspectos, además de ofrecer detalle de la evolución global intermensual e interanual.</t>
  </si>
</sst>
</file>

<file path=xl/styles.xml><?xml version="1.0" encoding="utf-8"?>
<styleSheet xmlns="http://schemas.openxmlformats.org/spreadsheetml/2006/main">
  <numFmts count="2">
    <numFmt numFmtId="164" formatCode="[$-C0A]mmmm\-yyyy"/>
    <numFmt numFmtId="165" formatCode="mmmm"/>
  </numFmts>
  <fonts count="57">
    <font>
      <sz val="11"/>
      <color theme="1"/>
      <name val="Calibri"/>
      <family val="2"/>
      <scheme val="minor"/>
    </font>
    <font>
      <b/>
      <sz val="10"/>
      <name val="Andalus"/>
      <family val="1"/>
    </font>
    <font>
      <b/>
      <sz val="16"/>
      <name val="Arial Narrow"/>
      <family val="2"/>
    </font>
    <font>
      <sz val="14"/>
      <name val="Arial Narrow"/>
      <family val="2"/>
    </font>
    <font>
      <sz val="18"/>
      <color rgb="FF0070C0"/>
      <name val="Arial Black"/>
      <family val="2"/>
    </font>
    <font>
      <b/>
      <sz val="18"/>
      <color rgb="FF0070C0"/>
      <name val="Arial Black"/>
      <family val="2"/>
    </font>
    <font>
      <sz val="11"/>
      <color theme="1"/>
      <name val="Calibri"/>
      <family val="2"/>
      <scheme val="minor"/>
    </font>
    <font>
      <b/>
      <sz val="14"/>
      <color theme="1"/>
      <name val="Calibri"/>
      <family val="2"/>
      <scheme val="minor"/>
    </font>
    <font>
      <sz val="11"/>
      <color rgb="FF00B050"/>
      <name val="Calibri"/>
      <family val="2"/>
      <scheme val="minor"/>
    </font>
    <font>
      <sz val="11"/>
      <color theme="0"/>
      <name val="Calibri"/>
      <family val="2"/>
      <scheme val="minor"/>
    </font>
    <font>
      <sz val="16"/>
      <name val="Arial Narrow"/>
      <family val="2"/>
    </font>
    <font>
      <b/>
      <sz val="14"/>
      <color theme="0"/>
      <name val="Arial Black"/>
      <family val="2"/>
    </font>
    <font>
      <b/>
      <sz val="16"/>
      <color theme="0"/>
      <name val="Arial Black"/>
      <family val="2"/>
    </font>
    <font>
      <b/>
      <sz val="11"/>
      <color theme="0"/>
      <name val="Calibri"/>
      <family val="2"/>
      <scheme val="minor"/>
    </font>
    <font>
      <b/>
      <sz val="14"/>
      <color theme="0"/>
      <name val="Calibri"/>
      <family val="2"/>
      <scheme val="minor"/>
    </font>
    <font>
      <sz val="12"/>
      <name val="Arial"/>
      <family val="2"/>
    </font>
    <font>
      <b/>
      <sz val="14"/>
      <color theme="0"/>
      <name val="Arial Narrow"/>
      <family val="2"/>
    </font>
    <font>
      <sz val="14"/>
      <color theme="1"/>
      <name val="Calibri"/>
      <family val="2"/>
      <scheme val="minor"/>
    </font>
    <font>
      <b/>
      <sz val="10"/>
      <color theme="0"/>
      <name val="Arial Black"/>
      <family val="2"/>
    </font>
    <font>
      <b/>
      <sz val="10"/>
      <name val="Calibri"/>
      <family val="2"/>
    </font>
    <font>
      <sz val="8"/>
      <name val="Arial"/>
      <family val="2"/>
    </font>
    <font>
      <sz val="11"/>
      <color theme="1"/>
      <name val="Arial Narrow"/>
      <family val="2"/>
    </font>
    <font>
      <b/>
      <sz val="12"/>
      <name val="Arial Black"/>
      <family val="2"/>
    </font>
    <font>
      <b/>
      <sz val="16"/>
      <color theme="0"/>
      <name val="Arial Narrow"/>
      <family val="2"/>
    </font>
    <font>
      <sz val="16"/>
      <color theme="1"/>
      <name val="Arial Narrow"/>
      <family val="2"/>
    </font>
    <font>
      <b/>
      <sz val="11"/>
      <color theme="0"/>
      <name val="Arial Black"/>
      <family val="2"/>
    </font>
    <font>
      <b/>
      <sz val="14"/>
      <color theme="1"/>
      <name val="Arial Narrow"/>
      <family val="2"/>
    </font>
    <font>
      <b/>
      <sz val="20"/>
      <name val="Arial Narrow"/>
      <family val="2"/>
    </font>
    <font>
      <sz val="11"/>
      <name val="Arial Narrow"/>
      <family val="2"/>
    </font>
    <font>
      <sz val="14"/>
      <color theme="1"/>
      <name val="Arial Narrow"/>
      <family val="2"/>
    </font>
    <font>
      <sz val="12"/>
      <name val="Arial Narrow"/>
      <family val="2"/>
    </font>
    <font>
      <sz val="28"/>
      <color theme="1"/>
      <name val="Calibri"/>
      <family val="2"/>
      <scheme val="minor"/>
    </font>
    <font>
      <sz val="20"/>
      <name val="Arial Narrow"/>
      <family val="2"/>
    </font>
    <font>
      <sz val="20"/>
      <color theme="1"/>
      <name val="Arial Narrow"/>
      <family val="2"/>
    </font>
    <font>
      <b/>
      <sz val="18"/>
      <color theme="0"/>
      <name val="Arial Black"/>
      <family val="2"/>
    </font>
    <font>
      <b/>
      <sz val="28"/>
      <color rgb="FF0070C0"/>
      <name val="Arial Black"/>
      <family val="2"/>
    </font>
    <font>
      <sz val="28"/>
      <color theme="4"/>
      <name val="Arial Black"/>
      <family val="2"/>
    </font>
    <font>
      <b/>
      <sz val="26"/>
      <color theme="0"/>
      <name val="Arial Narrow"/>
      <family val="2"/>
    </font>
    <font>
      <b/>
      <sz val="14"/>
      <color theme="4" tint="-0.499984740745262"/>
      <name val="Arial Narrow"/>
      <family val="2"/>
    </font>
    <font>
      <b/>
      <sz val="12"/>
      <color theme="4" tint="-0.499984740745262"/>
      <name val="Arial Narrow"/>
      <family val="2"/>
    </font>
    <font>
      <b/>
      <sz val="14"/>
      <color theme="4" tint="-0.249977111117893"/>
      <name val="Arial Black"/>
      <family val="2"/>
    </font>
    <font>
      <b/>
      <sz val="14"/>
      <color theme="4" tint="-0.249977111117893"/>
      <name val="Arial Narrow"/>
      <family val="2"/>
    </font>
    <font>
      <b/>
      <sz val="11"/>
      <color theme="4" tint="-0.499984740745262"/>
      <name val="Arial Narrow"/>
      <family val="2"/>
    </font>
    <font>
      <sz val="12"/>
      <color theme="1"/>
      <name val="Arial Narrow"/>
      <family val="2"/>
    </font>
    <font>
      <sz val="11"/>
      <color theme="1"/>
      <name val="Calibri"/>
      <family val="2"/>
    </font>
    <font>
      <sz val="11"/>
      <name val="Calibri"/>
      <family val="2"/>
      <scheme val="minor"/>
    </font>
    <font>
      <sz val="10"/>
      <color theme="4" tint="-0.249977111117893"/>
      <name val="Rockwell"/>
      <family val="1"/>
    </font>
    <font>
      <sz val="9"/>
      <color rgb="FF00B050"/>
      <name val="Rockwell"/>
      <family val="1"/>
    </font>
    <font>
      <sz val="9"/>
      <color theme="4" tint="-0.249977111117893"/>
      <name val="Rockwell"/>
      <family val="1"/>
    </font>
    <font>
      <sz val="9"/>
      <color rgb="FFFF0000"/>
      <name val="Rockwell"/>
      <family val="1"/>
    </font>
    <font>
      <b/>
      <sz val="18"/>
      <color theme="4" tint="-0.249977111117893"/>
      <name val="Rockwell"/>
      <family val="1"/>
    </font>
    <font>
      <sz val="8"/>
      <color theme="4" tint="-0.249977111117893"/>
      <name val="Rockwell"/>
      <family val="1"/>
    </font>
    <font>
      <b/>
      <sz val="9"/>
      <color theme="4" tint="-0.249977111117893"/>
      <name val="Rockwell"/>
      <family val="1"/>
    </font>
    <font>
      <b/>
      <sz val="20"/>
      <color theme="4" tint="-0.249977111117893"/>
      <name val="Rockwell"/>
      <family val="1"/>
    </font>
    <font>
      <b/>
      <sz val="18"/>
      <color theme="4"/>
      <name val="Arial Black"/>
      <family val="2"/>
    </font>
    <font>
      <sz val="18"/>
      <color theme="3" tint="0.39997558519241921"/>
      <name val="Arial Black"/>
      <family val="2"/>
    </font>
    <font>
      <sz val="18"/>
      <color theme="4"/>
      <name val="Arial Black"/>
      <family val="2"/>
    </font>
  </fonts>
  <fills count="1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249977111117893"/>
        <bgColor indexed="64"/>
      </patternFill>
    </fill>
    <fill>
      <patternFill patternType="solid">
        <fgColor theme="3" tint="0.59999389629810485"/>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FF66"/>
        <bgColor indexed="64"/>
      </patternFill>
    </fill>
    <fill>
      <patternFill patternType="solid">
        <fgColor theme="3"/>
        <bgColor indexed="64"/>
      </patternFill>
    </fill>
  </fills>
  <borders count="182">
    <border>
      <left/>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thin">
        <color theme="4" tint="-0.24994659260841701"/>
      </left>
      <right style="thick">
        <color theme="4" tint="-0.24994659260841701"/>
      </right>
      <top style="thin">
        <color theme="4" tint="-0.24994659260841701"/>
      </top>
      <bottom style="thick">
        <color theme="4" tint="-0.24994659260841701"/>
      </bottom>
      <diagonal/>
    </border>
    <border>
      <left style="thin">
        <color theme="4" tint="-0.24994659260841701"/>
      </left>
      <right style="thin">
        <color indexed="64"/>
      </right>
      <top style="thin">
        <color theme="4" tint="-0.24994659260841701"/>
      </top>
      <bottom style="thin">
        <color indexed="64"/>
      </bottom>
      <diagonal/>
    </border>
    <border>
      <left style="thin">
        <color indexed="64"/>
      </left>
      <right style="thin">
        <color indexed="64"/>
      </right>
      <top style="thin">
        <color theme="4" tint="-0.24994659260841701"/>
      </top>
      <bottom style="thin">
        <color indexed="64"/>
      </bottom>
      <diagonal/>
    </border>
    <border>
      <left style="thin">
        <color indexed="64"/>
      </left>
      <right style="thick">
        <color theme="4" tint="-0.24994659260841701"/>
      </right>
      <top style="thin">
        <color theme="4" tint="-0.24994659260841701"/>
      </top>
      <bottom style="thin">
        <color indexed="64"/>
      </bottom>
      <diagonal/>
    </border>
    <border>
      <left style="thin">
        <color theme="4" tint="-0.24994659260841701"/>
      </left>
      <right style="thin">
        <color indexed="64"/>
      </right>
      <top style="thin">
        <color indexed="64"/>
      </top>
      <bottom style="thick">
        <color theme="4" tint="-0.24994659260841701"/>
      </bottom>
      <diagonal/>
    </border>
    <border>
      <left style="thin">
        <color indexed="64"/>
      </left>
      <right style="thin">
        <color indexed="64"/>
      </right>
      <top style="thin">
        <color indexed="64"/>
      </top>
      <bottom style="thick">
        <color theme="4" tint="-0.24994659260841701"/>
      </bottom>
      <diagonal/>
    </border>
    <border>
      <left style="thin">
        <color indexed="64"/>
      </left>
      <right style="thick">
        <color theme="4" tint="-0.24994659260841701"/>
      </right>
      <top style="thin">
        <color indexed="64"/>
      </top>
      <bottom style="thick">
        <color theme="4" tint="-0.24994659260841701"/>
      </bottom>
      <diagonal/>
    </border>
    <border>
      <left style="thin">
        <color theme="4" tint="-0.24994659260841701"/>
      </left>
      <right style="thin">
        <color indexed="64"/>
      </right>
      <top style="thin">
        <color theme="4" tint="-0.24994659260841701"/>
      </top>
      <bottom/>
      <diagonal/>
    </border>
    <border>
      <left/>
      <right style="thick">
        <color theme="4" tint="-0.24994659260841701"/>
      </right>
      <top/>
      <bottom/>
      <diagonal/>
    </border>
    <border>
      <left/>
      <right style="thick">
        <color theme="4" tint="-0.24994659260841701"/>
      </right>
      <top/>
      <bottom style="thick">
        <color theme="4" tint="-0.24994659260841701"/>
      </bottom>
      <diagonal/>
    </border>
    <border>
      <left/>
      <right/>
      <top/>
      <bottom style="thick">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ck">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thick">
        <color theme="4" tint="-0.24994659260841701"/>
      </bottom>
      <diagonal/>
    </border>
    <border>
      <left style="thin">
        <color theme="4" tint="-0.24994659260841701"/>
      </left>
      <right style="thin">
        <color indexed="64"/>
      </right>
      <top style="thin">
        <color indexed="64"/>
      </top>
      <bottom style="thin">
        <color indexed="64"/>
      </bottom>
      <diagonal/>
    </border>
    <border>
      <left/>
      <right/>
      <top style="hair">
        <color indexed="64"/>
      </top>
      <bottom style="hair">
        <color indexed="64"/>
      </bottom>
      <diagonal/>
    </border>
    <border>
      <left style="thin">
        <color theme="4" tint="-0.24994659260841701"/>
      </left>
      <right/>
      <top style="thin">
        <color theme="4" tint="-0.24994659260841701"/>
      </top>
      <bottom/>
      <diagonal/>
    </border>
    <border>
      <left/>
      <right/>
      <top style="thin">
        <color theme="4" tint="-0.24994659260841701"/>
      </top>
      <bottom/>
      <diagonal/>
    </border>
    <border>
      <left/>
      <right style="thin">
        <color indexed="64"/>
      </right>
      <top style="thin">
        <color theme="4" tint="-0.24994659260841701"/>
      </top>
      <bottom/>
      <diagonal/>
    </border>
    <border>
      <left/>
      <right style="thick">
        <color theme="4" tint="-0.24994659260841701"/>
      </right>
      <top style="hair">
        <color indexed="64"/>
      </top>
      <bottom style="hair">
        <color indexed="64"/>
      </bottom>
      <diagonal/>
    </border>
    <border>
      <left/>
      <right/>
      <top style="hair">
        <color indexed="64"/>
      </top>
      <bottom style="thick">
        <color theme="4" tint="-0.24994659260841701"/>
      </bottom>
      <diagonal/>
    </border>
    <border>
      <left/>
      <right style="thick">
        <color theme="4" tint="-0.24994659260841701"/>
      </right>
      <top style="hair">
        <color indexed="64"/>
      </top>
      <bottom style="thick">
        <color theme="4" tint="-0.24994659260841701"/>
      </bottom>
      <diagonal/>
    </border>
    <border>
      <left/>
      <right/>
      <top/>
      <bottom style="hair">
        <color indexed="64"/>
      </bottom>
      <diagonal/>
    </border>
    <border>
      <left/>
      <right style="thick">
        <color theme="4" tint="-0.24994659260841701"/>
      </right>
      <top/>
      <bottom style="hair">
        <color indexed="64"/>
      </bottom>
      <diagonal/>
    </border>
    <border>
      <left style="thin">
        <color indexed="64"/>
      </left>
      <right style="thin">
        <color theme="4" tint="-0.24994659260841701"/>
      </right>
      <top style="thin">
        <color theme="4" tint="-0.24994659260841701"/>
      </top>
      <bottom style="thin">
        <color indexed="64"/>
      </bottom>
      <diagonal/>
    </border>
    <border>
      <left style="thin">
        <color indexed="64"/>
      </left>
      <right style="thin">
        <color theme="4" tint="-0.24994659260841701"/>
      </right>
      <top style="thin">
        <color indexed="64"/>
      </top>
      <bottom style="thin">
        <color indexed="64"/>
      </bottom>
      <diagonal/>
    </border>
    <border>
      <left style="thin">
        <color indexed="64"/>
      </left>
      <right style="thin">
        <color theme="4" tint="-0.24994659260841701"/>
      </right>
      <top style="thin">
        <color indexed="64"/>
      </top>
      <bottom style="thick">
        <color theme="4" tint="-0.24994659260841701"/>
      </bottom>
      <diagonal/>
    </border>
    <border>
      <left style="thin">
        <color theme="4" tint="-0.24994659260841701"/>
      </left>
      <right/>
      <top/>
      <bottom/>
      <diagonal/>
    </border>
    <border>
      <left/>
      <right style="thin">
        <color theme="4" tint="-0.24994659260841701"/>
      </right>
      <top style="thin">
        <color theme="4" tint="-0.24994659260841701"/>
      </top>
      <bottom/>
      <diagonal/>
    </border>
    <border>
      <left/>
      <right style="thin">
        <color theme="4" tint="-0.24994659260841701"/>
      </right>
      <top/>
      <bottom/>
      <diagonal/>
    </border>
    <border>
      <left style="thin">
        <color theme="4" tint="-0.24994659260841701"/>
      </left>
      <right/>
      <top/>
      <bottom style="thin">
        <color theme="4" tint="-0.24994659260841701"/>
      </bottom>
      <diagonal/>
    </border>
    <border>
      <left/>
      <right style="thin">
        <color theme="4" tint="-0.24994659260841701"/>
      </right>
      <top/>
      <bottom style="thin">
        <color theme="4" tint="-0.24994659260841701"/>
      </bottom>
      <diagonal/>
    </border>
    <border>
      <left/>
      <right style="thick">
        <color theme="4" tint="-0.24994659260841701"/>
      </right>
      <top style="thin">
        <color theme="4" tint="-0.24994659260841701"/>
      </top>
      <bottom/>
      <diagonal/>
    </border>
    <border>
      <left/>
      <right style="thick">
        <color theme="4" tint="-0.24994659260841701"/>
      </right>
      <top/>
      <bottom style="thin">
        <color theme="4" tint="-0.24994659260841701"/>
      </bottom>
      <diagonal/>
    </border>
    <border>
      <left style="thin">
        <color theme="4" tint="-0.24994659260841701"/>
      </left>
      <right/>
      <top/>
      <bottom style="thick">
        <color theme="4" tint="-0.24994659260841701"/>
      </bottom>
      <diagonal/>
    </border>
    <border>
      <left/>
      <right style="thin">
        <color theme="4" tint="-0.24994659260841701"/>
      </right>
      <top/>
      <bottom style="thick">
        <color theme="4" tint="-0.24994659260841701"/>
      </bottom>
      <diagonal/>
    </border>
    <border>
      <left/>
      <right/>
      <top/>
      <bottom style="thin">
        <color theme="4" tint="-0.24994659260841701"/>
      </bottom>
      <diagonal/>
    </border>
    <border>
      <left style="thin">
        <color indexed="64"/>
      </left>
      <right style="thin">
        <color indexed="64"/>
      </right>
      <top style="thin">
        <color theme="4" tint="-0.24994659260841701"/>
      </top>
      <bottom/>
      <diagonal/>
    </border>
    <border>
      <left style="thin">
        <color indexed="64"/>
      </left>
      <right style="thin">
        <color theme="4" tint="-0.24994659260841701"/>
      </right>
      <top style="thin">
        <color theme="4" tint="-0.24994659260841701"/>
      </top>
      <bottom/>
      <diagonal/>
    </border>
    <border>
      <left style="thin">
        <color indexed="64"/>
      </left>
      <right style="thick">
        <color theme="4" tint="-0.24994659260841701"/>
      </right>
      <top style="thin">
        <color theme="4" tint="-0.24994659260841701"/>
      </top>
      <bottom/>
      <diagonal/>
    </border>
    <border>
      <left style="thin">
        <color indexed="64"/>
      </left>
      <right style="thin">
        <color indexed="64"/>
      </right>
      <top style="thin">
        <color theme="4" tint="-0.24994659260841701"/>
      </top>
      <bottom style="thin">
        <color theme="4" tint="-0.24994659260841701"/>
      </bottom>
      <diagonal/>
    </border>
    <border>
      <left style="thin">
        <color indexed="64"/>
      </left>
      <right style="thin">
        <color theme="4" tint="-0.24994659260841701"/>
      </right>
      <top style="thin">
        <color theme="4" tint="-0.24994659260841701"/>
      </top>
      <bottom style="thin">
        <color theme="4" tint="-0.24994659260841701"/>
      </bottom>
      <diagonal/>
    </border>
    <border>
      <left/>
      <right style="thin">
        <color indexed="64"/>
      </right>
      <top style="thin">
        <color theme="4" tint="-0.24994659260841701"/>
      </top>
      <bottom style="thin">
        <color theme="4" tint="-0.24994659260841701"/>
      </bottom>
      <diagonal/>
    </border>
    <border>
      <left style="thin">
        <color theme="4" tint="-0.24994659260841701"/>
      </left>
      <right/>
      <top style="thin">
        <color theme="4" tint="-0.24994659260841701"/>
      </top>
      <bottom style="hair">
        <color indexed="64"/>
      </bottom>
      <diagonal/>
    </border>
    <border>
      <left/>
      <right/>
      <top style="thin">
        <color theme="4" tint="-0.24994659260841701"/>
      </top>
      <bottom style="hair">
        <color indexed="64"/>
      </bottom>
      <diagonal/>
    </border>
    <border>
      <left style="thin">
        <color theme="4" tint="-0.24994659260841701"/>
      </left>
      <right/>
      <top style="hair">
        <color indexed="64"/>
      </top>
      <bottom style="hair">
        <color indexed="64"/>
      </bottom>
      <diagonal/>
    </border>
    <border>
      <left style="thin">
        <color theme="4" tint="-0.24994659260841701"/>
      </left>
      <right/>
      <top style="hair">
        <color indexed="64"/>
      </top>
      <bottom style="thick">
        <color theme="4" tint="-0.24994659260841701"/>
      </bottom>
      <diagonal/>
    </border>
    <border>
      <left style="thin">
        <color theme="4" tint="-0.24994659260841701"/>
      </left>
      <right style="thin">
        <color theme="4" tint="-0.24994659260841701"/>
      </right>
      <top style="thin">
        <color theme="4" tint="-0.24994659260841701"/>
      </top>
      <bottom/>
      <diagonal/>
    </border>
    <border>
      <left style="thin">
        <color theme="4" tint="-0.24994659260841701"/>
      </left>
      <right/>
      <top style="thin">
        <color theme="4" tint="-0.24994659260841701"/>
      </top>
      <bottom style="thin">
        <color theme="4" tint="-0.24994659260841701"/>
      </bottom>
      <diagonal/>
    </border>
    <border>
      <left/>
      <right/>
      <top style="thin">
        <color theme="4" tint="-0.24994659260841701"/>
      </top>
      <bottom style="thin">
        <color theme="4" tint="-0.24994659260841701"/>
      </bottom>
      <diagonal/>
    </border>
    <border>
      <left/>
      <right style="thick">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top style="thin">
        <color theme="4" tint="-0.24994659260841701"/>
      </top>
      <bottom style="hair">
        <color theme="4" tint="-0.24994659260841701"/>
      </bottom>
      <diagonal/>
    </border>
    <border>
      <left/>
      <right/>
      <top style="thin">
        <color theme="4" tint="-0.24994659260841701"/>
      </top>
      <bottom style="hair">
        <color theme="4" tint="-0.24994659260841701"/>
      </bottom>
      <diagonal/>
    </border>
    <border>
      <left/>
      <right style="thin">
        <color theme="4" tint="-0.24994659260841701"/>
      </right>
      <top style="thin">
        <color theme="4" tint="-0.24994659260841701"/>
      </top>
      <bottom style="hair">
        <color theme="4" tint="-0.24994659260841701"/>
      </bottom>
      <diagonal/>
    </border>
    <border>
      <left style="thin">
        <color theme="4" tint="-0.24994659260841701"/>
      </left>
      <right style="thin">
        <color indexed="64"/>
      </right>
      <top style="thin">
        <color theme="4" tint="-0.24994659260841701"/>
      </top>
      <bottom style="hair">
        <color theme="4" tint="-0.24994659260841701"/>
      </bottom>
      <diagonal/>
    </border>
    <border>
      <left style="thin">
        <color indexed="64"/>
      </left>
      <right style="thin">
        <color theme="4" tint="-0.24994659260841701"/>
      </right>
      <top style="thin">
        <color theme="4" tint="-0.24994659260841701"/>
      </top>
      <bottom style="hair">
        <color theme="4" tint="-0.24994659260841701"/>
      </bottom>
      <diagonal/>
    </border>
    <border>
      <left/>
      <right style="thick">
        <color theme="4" tint="-0.24994659260841701"/>
      </right>
      <top style="thin">
        <color theme="4" tint="-0.24994659260841701"/>
      </top>
      <bottom style="hair">
        <color theme="4" tint="-0.24994659260841701"/>
      </bottom>
      <diagonal/>
    </border>
    <border>
      <left style="thin">
        <color theme="4" tint="-0.24994659260841701"/>
      </left>
      <right style="thin">
        <color indexed="64"/>
      </right>
      <top style="hair">
        <color theme="4" tint="-0.24994659260841701"/>
      </top>
      <bottom style="thick">
        <color theme="4" tint="-0.24994659260841701"/>
      </bottom>
      <diagonal/>
    </border>
    <border>
      <left style="thin">
        <color indexed="64"/>
      </left>
      <right style="thin">
        <color theme="4" tint="-0.24994659260841701"/>
      </right>
      <top style="hair">
        <color theme="4" tint="-0.24994659260841701"/>
      </top>
      <bottom style="thick">
        <color theme="4" tint="-0.24994659260841701"/>
      </bottom>
      <diagonal/>
    </border>
    <border>
      <left style="thin">
        <color theme="4" tint="-0.24994659260841701"/>
      </left>
      <right/>
      <top style="hair">
        <color theme="4" tint="-0.24994659260841701"/>
      </top>
      <bottom style="thick">
        <color theme="4" tint="-0.24994659260841701"/>
      </bottom>
      <diagonal/>
    </border>
    <border>
      <left/>
      <right/>
      <top style="hair">
        <color theme="4" tint="-0.24994659260841701"/>
      </top>
      <bottom style="thick">
        <color theme="4" tint="-0.24994659260841701"/>
      </bottom>
      <diagonal/>
    </border>
    <border>
      <left/>
      <right style="thick">
        <color theme="4" tint="-0.24994659260841701"/>
      </right>
      <top style="hair">
        <color theme="4" tint="-0.24994659260841701"/>
      </top>
      <bottom style="thick">
        <color theme="4" tint="-0.24994659260841701"/>
      </bottom>
      <diagonal/>
    </border>
    <border>
      <left style="thin">
        <color theme="4" tint="-0.24994659260841701"/>
      </left>
      <right/>
      <top style="hair">
        <color theme="4" tint="-0.24994659260841701"/>
      </top>
      <bottom style="hair">
        <color theme="4" tint="-0.24994659260841701"/>
      </bottom>
      <diagonal/>
    </border>
    <border>
      <left/>
      <right/>
      <top style="hair">
        <color theme="4" tint="-0.24994659260841701"/>
      </top>
      <bottom style="hair">
        <color theme="4" tint="-0.24994659260841701"/>
      </bottom>
      <diagonal/>
    </border>
    <border>
      <left/>
      <right style="thick">
        <color theme="4" tint="-0.24994659260841701"/>
      </right>
      <top style="hair">
        <color theme="4" tint="-0.24994659260841701"/>
      </top>
      <bottom style="hair">
        <color theme="4" tint="-0.24994659260841701"/>
      </bottom>
      <diagonal/>
    </border>
    <border>
      <left/>
      <right style="thin">
        <color theme="4" tint="-0.24994659260841701"/>
      </right>
      <top style="hair">
        <color theme="4" tint="-0.24994659260841701"/>
      </top>
      <bottom style="hair">
        <color theme="4" tint="-0.24994659260841701"/>
      </bottom>
      <diagonal/>
    </border>
    <border>
      <left/>
      <right style="thin">
        <color theme="4" tint="-0.24994659260841701"/>
      </right>
      <top style="hair">
        <color theme="4" tint="-0.24994659260841701"/>
      </top>
      <bottom style="thick">
        <color theme="4" tint="-0.24994659260841701"/>
      </bottom>
      <diagonal/>
    </border>
    <border>
      <left style="thin">
        <color theme="4" tint="-0.24994659260841701"/>
      </left>
      <right style="thin">
        <color indexed="64"/>
      </right>
      <top style="thin">
        <color theme="4" tint="-0.24994659260841701"/>
      </top>
      <bottom style="thin">
        <color theme="4" tint="-0.24994659260841701"/>
      </bottom>
      <diagonal/>
    </border>
    <border>
      <left style="thin">
        <color indexed="64"/>
      </left>
      <right style="thick">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bottom style="thick">
        <color theme="4" tint="-0.24994659260841701"/>
      </bottom>
      <diagonal/>
    </border>
    <border>
      <left/>
      <right style="thin">
        <color indexed="64"/>
      </right>
      <top style="thin">
        <color theme="4" tint="-0.24994659260841701"/>
      </top>
      <bottom style="thin">
        <color indexed="64"/>
      </bottom>
      <diagonal/>
    </border>
    <border>
      <left/>
      <right style="thin">
        <color indexed="64"/>
      </right>
      <top style="thin">
        <color indexed="64"/>
      </top>
      <bottom style="thick">
        <color theme="4" tint="-0.24994659260841701"/>
      </bottom>
      <diagonal/>
    </border>
    <border>
      <left/>
      <right style="thin">
        <color theme="4" tint="-0.24994659260841701"/>
      </right>
      <top style="thin">
        <color theme="4" tint="-0.24994659260841701"/>
      </top>
      <bottom style="hair">
        <color indexed="64"/>
      </bottom>
      <diagonal/>
    </border>
    <border>
      <left/>
      <right style="thin">
        <color theme="4" tint="-0.24994659260841701"/>
      </right>
      <top style="thin">
        <color theme="4" tint="-0.24994659260841701"/>
      </top>
      <bottom style="thin">
        <color theme="4" tint="-0.24994659260841701"/>
      </bottom>
      <diagonal/>
    </border>
    <border>
      <left style="medium">
        <color indexed="64"/>
      </left>
      <right/>
      <top/>
      <bottom style="medium">
        <color indexed="64"/>
      </bottom>
      <diagonal/>
    </border>
    <border>
      <left style="thick">
        <color theme="3" tint="-0.24994659260841701"/>
      </left>
      <right style="medium">
        <color theme="3" tint="-0.24994659260841701"/>
      </right>
      <top style="thick">
        <color theme="3" tint="-0.24994659260841701"/>
      </top>
      <bottom/>
      <diagonal/>
    </border>
    <border>
      <left style="medium">
        <color theme="3" tint="-0.24994659260841701"/>
      </left>
      <right style="medium">
        <color theme="3" tint="-0.24994659260841701"/>
      </right>
      <top style="thick">
        <color theme="3" tint="-0.24994659260841701"/>
      </top>
      <bottom/>
      <diagonal/>
    </border>
    <border>
      <left style="thick">
        <color theme="3" tint="-0.24994659260841701"/>
      </left>
      <right style="medium">
        <color theme="3" tint="-0.24994659260841701"/>
      </right>
      <top/>
      <bottom style="thick">
        <color theme="3" tint="-0.24994659260841701"/>
      </bottom>
      <diagonal/>
    </border>
    <border>
      <left style="medium">
        <color theme="3" tint="-0.24994659260841701"/>
      </left>
      <right style="medium">
        <color theme="3" tint="-0.24994659260841701"/>
      </right>
      <top/>
      <bottom style="thick">
        <color theme="3" tint="-0.24994659260841701"/>
      </bottom>
      <diagonal/>
    </border>
    <border>
      <left style="medium">
        <color theme="3" tint="-0.24994659260841701"/>
      </left>
      <right style="thick">
        <color theme="3" tint="-0.24994659260841701"/>
      </right>
      <top style="thick">
        <color theme="3" tint="-0.24994659260841701"/>
      </top>
      <bottom style="thick">
        <color theme="3" tint="-0.24994659260841701"/>
      </bottom>
      <diagonal/>
    </border>
    <border>
      <left style="medium">
        <color theme="3" tint="-0.24994659260841701"/>
      </left>
      <right style="medium">
        <color theme="3" tint="-0.24994659260841701"/>
      </right>
      <top style="thick">
        <color theme="3" tint="-0.24994659260841701"/>
      </top>
      <bottom style="thick">
        <color theme="3" tint="-0.24994659260841701"/>
      </bottom>
      <diagonal/>
    </border>
    <border>
      <left style="medium">
        <color theme="3" tint="-0.24994659260841701"/>
      </left>
      <right/>
      <top style="thick">
        <color theme="3" tint="-0.24994659260841701"/>
      </top>
      <bottom/>
      <diagonal/>
    </border>
    <border>
      <left style="medium">
        <color theme="3" tint="-0.24994659260841701"/>
      </left>
      <right/>
      <top/>
      <bottom style="thick">
        <color theme="3" tint="-0.24994659260841701"/>
      </bottom>
      <diagonal/>
    </border>
    <border>
      <left/>
      <right/>
      <top style="thick">
        <color theme="3" tint="-0.24994659260841701"/>
      </top>
      <bottom/>
      <diagonal/>
    </border>
    <border>
      <left/>
      <right/>
      <top/>
      <bottom style="thick">
        <color theme="3" tint="-0.24994659260841701"/>
      </bottom>
      <diagonal/>
    </border>
    <border>
      <left style="medium">
        <color theme="3" tint="-0.24994659260841701"/>
      </left>
      <right style="dashed">
        <color theme="3" tint="-0.24994659260841701"/>
      </right>
      <top style="thick">
        <color theme="3" tint="-0.24994659260841701"/>
      </top>
      <bottom style="dashed">
        <color theme="3" tint="-0.24994659260841701"/>
      </bottom>
      <diagonal/>
    </border>
    <border>
      <left style="dashed">
        <color theme="3" tint="-0.24994659260841701"/>
      </left>
      <right style="medium">
        <color theme="3" tint="-0.24994659260841701"/>
      </right>
      <top style="thick">
        <color theme="3" tint="-0.24994659260841701"/>
      </top>
      <bottom style="dashed">
        <color theme="3" tint="-0.24994659260841701"/>
      </bottom>
      <diagonal/>
    </border>
    <border>
      <left style="medium">
        <color theme="3" tint="-0.24994659260841701"/>
      </left>
      <right style="dashed">
        <color theme="3" tint="-0.24994659260841701"/>
      </right>
      <top style="dashed">
        <color theme="3" tint="-0.24994659260841701"/>
      </top>
      <bottom style="thick">
        <color theme="3" tint="-0.24994659260841701"/>
      </bottom>
      <diagonal/>
    </border>
    <border>
      <left style="dashed">
        <color theme="3" tint="-0.24994659260841701"/>
      </left>
      <right style="medium">
        <color theme="3" tint="-0.24994659260841701"/>
      </right>
      <top style="dashed">
        <color theme="3" tint="-0.24994659260841701"/>
      </top>
      <bottom style="thick">
        <color theme="3" tint="-0.24994659260841701"/>
      </bottom>
      <diagonal/>
    </border>
    <border>
      <left style="dashed">
        <color theme="3" tint="-0.24994659260841701"/>
      </left>
      <right style="thick">
        <color theme="3" tint="-0.24994659260841701"/>
      </right>
      <top style="thick">
        <color theme="3" tint="-0.24994659260841701"/>
      </top>
      <bottom style="dashed">
        <color theme="3" tint="-0.24994659260841701"/>
      </bottom>
      <diagonal/>
    </border>
    <border>
      <left style="dashed">
        <color theme="3" tint="-0.24994659260841701"/>
      </left>
      <right style="thick">
        <color theme="3" tint="-0.24994659260841701"/>
      </right>
      <top style="dashed">
        <color theme="3" tint="-0.24994659260841701"/>
      </top>
      <bottom style="thick">
        <color theme="3" tint="-0.24994659260841701"/>
      </bottom>
      <diagonal/>
    </border>
    <border>
      <left style="thick">
        <color theme="0" tint="-0.499984740745262"/>
      </left>
      <right style="medium">
        <color theme="0" tint="-0.499984740745262"/>
      </right>
      <top style="thick">
        <color theme="3" tint="-0.24994659260841701"/>
      </top>
      <bottom style="dashed">
        <color theme="0" tint="-0.499984740745262"/>
      </bottom>
      <diagonal/>
    </border>
    <border>
      <left style="thick">
        <color theme="0" tint="-0.499984740745262"/>
      </left>
      <right style="medium">
        <color theme="0" tint="-0.499984740745262"/>
      </right>
      <top style="dashed">
        <color theme="0" tint="-0.499984740745262"/>
      </top>
      <bottom style="dashed">
        <color theme="0" tint="-0.499984740745262"/>
      </bottom>
      <diagonal/>
    </border>
    <border>
      <left style="dashed">
        <color indexed="64"/>
      </left>
      <right style="thick">
        <color theme="0" tint="-0.499984740745262"/>
      </right>
      <top style="thick">
        <color theme="3" tint="-0.24994659260841701"/>
      </top>
      <bottom style="dashed">
        <color theme="0" tint="-0.499984740745262"/>
      </bottom>
      <diagonal/>
    </border>
    <border>
      <left style="dashed">
        <color indexed="64"/>
      </left>
      <right style="thick">
        <color theme="0" tint="-0.499984740745262"/>
      </right>
      <top style="dashed">
        <color theme="0" tint="-0.499984740745262"/>
      </top>
      <bottom style="dashed">
        <color theme="0" tint="-0.499984740745262"/>
      </bottom>
      <diagonal/>
    </border>
    <border>
      <left style="dashed">
        <color indexed="64"/>
      </left>
      <right style="thick">
        <color theme="0" tint="-0.499984740745262"/>
      </right>
      <top style="dashed">
        <color theme="0" tint="-0.499984740745262"/>
      </top>
      <bottom style="thick">
        <color theme="3" tint="-0.24994659260841701"/>
      </bottom>
      <diagonal/>
    </border>
    <border>
      <left style="medium">
        <color theme="0" tint="-0.499984740745262"/>
      </left>
      <right/>
      <top style="thick">
        <color theme="3" tint="-0.24994659260841701"/>
      </top>
      <bottom style="dashed">
        <color theme="0" tint="-0.499984740745262"/>
      </bottom>
      <diagonal/>
    </border>
    <border>
      <left style="medium">
        <color theme="0" tint="-0.499984740745262"/>
      </left>
      <right/>
      <top style="dashed">
        <color theme="0" tint="-0.499984740745262"/>
      </top>
      <bottom style="dashed">
        <color theme="0" tint="-0.499984740745262"/>
      </bottom>
      <diagonal/>
    </border>
    <border>
      <left style="medium">
        <color theme="0" tint="-0.499984740745262"/>
      </left>
      <right style="medium">
        <color theme="0" tint="-0.499984740745262"/>
      </right>
      <top style="thick">
        <color theme="3" tint="-0.24994659260841701"/>
      </top>
      <bottom style="dashed">
        <color theme="0" tint="-0.499984740745262"/>
      </bottom>
      <diagonal/>
    </border>
    <border>
      <left style="medium">
        <color theme="0" tint="-0.499984740745262"/>
      </left>
      <right style="medium">
        <color theme="0" tint="-0.499984740745262"/>
      </right>
      <top style="dashed">
        <color theme="0" tint="-0.499984740745262"/>
      </top>
      <bottom style="dashed">
        <color theme="0" tint="-0.499984740745262"/>
      </bottom>
      <diagonal/>
    </border>
    <border>
      <left style="medium">
        <color theme="0" tint="-0.499984740745262"/>
      </left>
      <right style="medium">
        <color theme="0" tint="-0.499984740745262"/>
      </right>
      <top style="dashed">
        <color theme="0" tint="-0.499984740745262"/>
      </top>
      <bottom style="thick">
        <color theme="3" tint="-0.24994659260841701"/>
      </bottom>
      <diagonal/>
    </border>
    <border>
      <left/>
      <right/>
      <top style="thick">
        <color theme="3" tint="-0.24994659260841701"/>
      </top>
      <bottom style="dashed">
        <color theme="0" tint="-0.499984740745262"/>
      </bottom>
      <diagonal/>
    </border>
    <border>
      <left/>
      <right/>
      <top style="dashed">
        <color theme="0" tint="-0.499984740745262"/>
      </top>
      <bottom style="dashed">
        <color theme="0" tint="-0.499984740745262"/>
      </bottom>
      <diagonal/>
    </border>
    <border>
      <left/>
      <right/>
      <top style="dashed">
        <color theme="0" tint="-0.499984740745262"/>
      </top>
      <bottom style="thick">
        <color theme="3" tint="-0.24994659260841701"/>
      </bottom>
      <diagonal/>
    </border>
    <border>
      <left/>
      <right style="dashed">
        <color indexed="64"/>
      </right>
      <top style="thick">
        <color theme="3" tint="-0.24994659260841701"/>
      </top>
      <bottom style="dashed">
        <color theme="0" tint="-0.499984740745262"/>
      </bottom>
      <diagonal/>
    </border>
    <border>
      <left/>
      <right style="dashed">
        <color indexed="64"/>
      </right>
      <top style="dashed">
        <color theme="0" tint="-0.499984740745262"/>
      </top>
      <bottom style="dashed">
        <color theme="0" tint="-0.499984740745262"/>
      </bottom>
      <diagonal/>
    </border>
    <border>
      <left/>
      <right style="dashed">
        <color indexed="64"/>
      </right>
      <top style="dashed">
        <color theme="0" tint="-0.499984740745262"/>
      </top>
      <bottom style="thick">
        <color theme="3" tint="-0.24994659260841701"/>
      </bottom>
      <diagonal/>
    </border>
    <border>
      <left style="dashed">
        <color indexed="64"/>
      </left>
      <right/>
      <top style="thick">
        <color theme="3" tint="-0.24994659260841701"/>
      </top>
      <bottom style="dashed">
        <color theme="0" tint="-0.499984740745262"/>
      </bottom>
      <diagonal/>
    </border>
    <border>
      <left style="dashed">
        <color indexed="64"/>
      </left>
      <right/>
      <top style="dashed">
        <color theme="0" tint="-0.499984740745262"/>
      </top>
      <bottom style="dashed">
        <color theme="0" tint="-0.499984740745262"/>
      </bottom>
      <diagonal/>
    </border>
    <border>
      <left style="dashed">
        <color indexed="64"/>
      </left>
      <right/>
      <top style="dashed">
        <color theme="0" tint="-0.499984740745262"/>
      </top>
      <bottom style="thick">
        <color theme="3" tint="-0.24994659260841701"/>
      </bottom>
      <diagonal/>
    </border>
    <border>
      <left style="medium">
        <color theme="0" tint="-0.499984740745262"/>
      </left>
      <right style="dashed">
        <color indexed="64"/>
      </right>
      <top style="thick">
        <color theme="3" tint="-0.24994659260841701"/>
      </top>
      <bottom style="dashed">
        <color theme="0" tint="-0.499984740745262"/>
      </bottom>
      <diagonal/>
    </border>
    <border>
      <left style="medium">
        <color theme="0" tint="-0.499984740745262"/>
      </left>
      <right style="dashed">
        <color indexed="64"/>
      </right>
      <top style="dashed">
        <color theme="0" tint="-0.499984740745262"/>
      </top>
      <bottom style="dashed">
        <color theme="0" tint="-0.499984740745262"/>
      </bottom>
      <diagonal/>
    </border>
    <border>
      <left style="medium">
        <color theme="0" tint="-0.499984740745262"/>
      </left>
      <right style="dashed">
        <color indexed="64"/>
      </right>
      <top style="dashed">
        <color theme="0" tint="-0.499984740745262"/>
      </top>
      <bottom style="thick">
        <color theme="3" tint="-0.24994659260841701"/>
      </bottom>
      <diagonal/>
    </border>
    <border>
      <left style="thick">
        <color theme="0" tint="-0.499984740745262"/>
      </left>
      <right style="medium">
        <color theme="0" tint="-0.499984740745262"/>
      </right>
      <top style="dashed">
        <color theme="0" tint="-0.499984740745262"/>
      </top>
      <bottom/>
      <diagonal/>
    </border>
    <border>
      <left style="medium">
        <color theme="0" tint="-0.499984740745262"/>
      </left>
      <right/>
      <top style="dashed">
        <color theme="0" tint="-0.499984740745262"/>
      </top>
      <bottom/>
      <diagonal/>
    </border>
    <border>
      <left style="thick">
        <color theme="3" tint="-0.24994659260841701"/>
      </left>
      <right/>
      <top style="thick">
        <color theme="3" tint="-0.24994659260841701"/>
      </top>
      <bottom style="thick">
        <color theme="3" tint="-0.24994659260841701"/>
      </bottom>
      <diagonal/>
    </border>
    <border>
      <left/>
      <right style="medium">
        <color theme="3" tint="-0.24994659260841701"/>
      </right>
      <top style="thick">
        <color theme="3" tint="-0.24994659260841701"/>
      </top>
      <bottom style="thick">
        <color theme="3" tint="-0.24994659260841701"/>
      </bottom>
      <diagonal/>
    </border>
    <border>
      <left style="thick">
        <color theme="3" tint="-0.24994659260841701"/>
      </left>
      <right style="medium">
        <color theme="3" tint="-0.24994659260841701"/>
      </right>
      <top style="thick">
        <color theme="3" tint="-0.24994659260841701"/>
      </top>
      <bottom style="medium">
        <color theme="3" tint="-0.24994659260841701"/>
      </bottom>
      <diagonal/>
    </border>
    <border>
      <left style="medium">
        <color theme="3" tint="-0.24994659260841701"/>
      </left>
      <right style="medium">
        <color theme="3" tint="-0.24994659260841701"/>
      </right>
      <top style="thick">
        <color theme="3" tint="-0.24994659260841701"/>
      </top>
      <bottom style="medium">
        <color theme="3" tint="-0.24994659260841701"/>
      </bottom>
      <diagonal/>
    </border>
    <border>
      <left style="medium">
        <color theme="3" tint="-0.24994659260841701"/>
      </left>
      <right style="thick">
        <color theme="3" tint="-0.24994659260841701"/>
      </right>
      <top style="thick">
        <color theme="3" tint="-0.24994659260841701"/>
      </top>
      <bottom style="medium">
        <color theme="3" tint="-0.24994659260841701"/>
      </bottom>
      <diagonal/>
    </border>
    <border>
      <left style="thick">
        <color theme="3" tint="-0.24994659260841701"/>
      </left>
      <right style="medium">
        <color theme="3" tint="-0.24994659260841701"/>
      </right>
      <top style="medium">
        <color theme="3" tint="-0.24994659260841701"/>
      </top>
      <bottom style="thick">
        <color theme="3" tint="-0.24994659260841701"/>
      </bottom>
      <diagonal/>
    </border>
    <border>
      <left style="medium">
        <color theme="3" tint="-0.24994659260841701"/>
      </left>
      <right style="medium">
        <color theme="3" tint="-0.24994659260841701"/>
      </right>
      <top style="medium">
        <color theme="3" tint="-0.24994659260841701"/>
      </top>
      <bottom style="thick">
        <color theme="3" tint="-0.24994659260841701"/>
      </bottom>
      <diagonal/>
    </border>
    <border>
      <left style="medium">
        <color theme="3" tint="-0.24994659260841701"/>
      </left>
      <right style="thick">
        <color theme="3" tint="-0.24994659260841701"/>
      </right>
      <top style="medium">
        <color theme="3" tint="-0.24994659260841701"/>
      </top>
      <bottom style="thick">
        <color theme="3" tint="-0.24994659260841701"/>
      </bottom>
      <diagonal/>
    </border>
    <border>
      <left style="thick">
        <color theme="0" tint="-0.499984740745262"/>
      </left>
      <right style="medium">
        <color theme="0" tint="-0.499984740745262"/>
      </right>
      <top style="dashed">
        <color theme="0" tint="-0.499984740745262"/>
      </top>
      <bottom style="thick">
        <color theme="3" tint="-0.24994659260841701"/>
      </bottom>
      <diagonal/>
    </border>
    <border>
      <left style="medium">
        <color theme="0" tint="-0.499984740745262"/>
      </left>
      <right style="dashed">
        <color theme="0" tint="-0.499984740745262"/>
      </right>
      <top style="thick">
        <color theme="3" tint="-0.24994659260841701"/>
      </top>
      <bottom style="dashed">
        <color theme="0" tint="-0.499984740745262"/>
      </bottom>
      <diagonal/>
    </border>
    <border>
      <left style="dashed">
        <color theme="0" tint="-0.499984740745262"/>
      </left>
      <right style="dashed">
        <color theme="0" tint="-0.499984740745262"/>
      </right>
      <top style="thick">
        <color theme="3" tint="-0.24994659260841701"/>
      </top>
      <bottom style="dashed">
        <color theme="0" tint="-0.499984740745262"/>
      </bottom>
      <diagonal/>
    </border>
    <border>
      <left style="dashed">
        <color theme="0" tint="-0.499984740745262"/>
      </left>
      <right style="medium">
        <color theme="0" tint="-0.499984740745262"/>
      </right>
      <top style="thick">
        <color theme="3" tint="-0.24994659260841701"/>
      </top>
      <bottom style="dashed">
        <color theme="0" tint="-0.499984740745262"/>
      </bottom>
      <diagonal/>
    </border>
    <border>
      <left style="medium">
        <color theme="0" tint="-0.499984740745262"/>
      </left>
      <right style="dashed">
        <color theme="0" tint="-0.499984740745262"/>
      </right>
      <top style="dashed">
        <color theme="0" tint="-0.499984740745262"/>
      </top>
      <bottom style="dashed">
        <color theme="0" tint="-0.499984740745262"/>
      </bottom>
      <diagonal/>
    </border>
    <border>
      <left style="dashed">
        <color theme="0" tint="-0.499984740745262"/>
      </left>
      <right style="dashed">
        <color theme="0" tint="-0.499984740745262"/>
      </right>
      <top style="dashed">
        <color theme="0" tint="-0.499984740745262"/>
      </top>
      <bottom style="dashed">
        <color theme="0" tint="-0.499984740745262"/>
      </bottom>
      <diagonal/>
    </border>
    <border>
      <left style="dashed">
        <color theme="0" tint="-0.499984740745262"/>
      </left>
      <right style="medium">
        <color theme="0" tint="-0.499984740745262"/>
      </right>
      <top style="dashed">
        <color theme="0" tint="-0.499984740745262"/>
      </top>
      <bottom style="dashed">
        <color theme="0" tint="-0.499984740745262"/>
      </bottom>
      <diagonal/>
    </border>
    <border>
      <left style="medium">
        <color theme="0" tint="-0.499984740745262"/>
      </left>
      <right style="dashed">
        <color theme="0" tint="-0.499984740745262"/>
      </right>
      <top style="dashed">
        <color theme="0" tint="-0.499984740745262"/>
      </top>
      <bottom style="thick">
        <color theme="3" tint="-0.24994659260841701"/>
      </bottom>
      <diagonal/>
    </border>
    <border>
      <left style="dashed">
        <color theme="0" tint="-0.499984740745262"/>
      </left>
      <right style="dashed">
        <color theme="0" tint="-0.499984740745262"/>
      </right>
      <top style="dashed">
        <color theme="0" tint="-0.499984740745262"/>
      </top>
      <bottom style="thick">
        <color theme="3" tint="-0.24994659260841701"/>
      </bottom>
      <diagonal/>
    </border>
    <border>
      <left style="dashed">
        <color theme="0" tint="-0.499984740745262"/>
      </left>
      <right style="medium">
        <color theme="0" tint="-0.499984740745262"/>
      </right>
      <top style="dashed">
        <color theme="0" tint="-0.499984740745262"/>
      </top>
      <bottom style="thick">
        <color theme="3" tint="-0.24994659260841701"/>
      </bottom>
      <diagonal/>
    </border>
    <border>
      <left style="thick">
        <color theme="3" tint="-0.24994659260841701"/>
      </left>
      <right style="medium">
        <color theme="3" tint="-0.24994659260841701"/>
      </right>
      <top style="thick">
        <color theme="3" tint="-0.24994659260841701"/>
      </top>
      <bottom style="thin">
        <color theme="3" tint="-0.24994659260841701"/>
      </bottom>
      <diagonal/>
    </border>
    <border>
      <left style="medium">
        <color theme="3" tint="-0.24994659260841701"/>
      </left>
      <right style="medium">
        <color theme="3" tint="-0.24994659260841701"/>
      </right>
      <top style="thick">
        <color theme="3" tint="-0.24994659260841701"/>
      </top>
      <bottom style="thin">
        <color theme="3" tint="-0.24994659260841701"/>
      </bottom>
      <diagonal/>
    </border>
    <border>
      <left style="medium">
        <color theme="3" tint="-0.24994659260841701"/>
      </left>
      <right style="thick">
        <color theme="3" tint="-0.24994659260841701"/>
      </right>
      <top style="thick">
        <color theme="3" tint="-0.24994659260841701"/>
      </top>
      <bottom style="thin">
        <color theme="3" tint="-0.24994659260841701"/>
      </bottom>
      <diagonal/>
    </border>
    <border>
      <left style="thick">
        <color theme="3" tint="-0.24994659260841701"/>
      </left>
      <right style="medium">
        <color theme="3" tint="-0.24994659260841701"/>
      </right>
      <top style="thin">
        <color theme="3" tint="-0.24994659260841701"/>
      </top>
      <bottom style="thin">
        <color theme="3" tint="-0.24994659260841701"/>
      </bottom>
      <diagonal/>
    </border>
    <border>
      <left style="medium">
        <color theme="3" tint="-0.24994659260841701"/>
      </left>
      <right style="medium">
        <color theme="3" tint="-0.24994659260841701"/>
      </right>
      <top style="thin">
        <color theme="3" tint="-0.24994659260841701"/>
      </top>
      <bottom style="thin">
        <color theme="3" tint="-0.24994659260841701"/>
      </bottom>
      <diagonal/>
    </border>
    <border>
      <left style="medium">
        <color theme="3" tint="-0.24994659260841701"/>
      </left>
      <right style="thick">
        <color theme="3" tint="-0.24994659260841701"/>
      </right>
      <top style="thin">
        <color theme="3" tint="-0.24994659260841701"/>
      </top>
      <bottom style="thin">
        <color theme="3" tint="-0.24994659260841701"/>
      </bottom>
      <diagonal/>
    </border>
    <border>
      <left style="thick">
        <color theme="3" tint="-0.24994659260841701"/>
      </left>
      <right style="medium">
        <color theme="3" tint="-0.24994659260841701"/>
      </right>
      <top style="thin">
        <color theme="3" tint="-0.24994659260841701"/>
      </top>
      <bottom style="thick">
        <color theme="3" tint="-0.24994659260841701"/>
      </bottom>
      <diagonal/>
    </border>
    <border>
      <left style="medium">
        <color theme="3" tint="-0.24994659260841701"/>
      </left>
      <right style="medium">
        <color theme="3" tint="-0.24994659260841701"/>
      </right>
      <top style="thin">
        <color theme="3" tint="-0.24994659260841701"/>
      </top>
      <bottom style="thick">
        <color theme="3" tint="-0.24994659260841701"/>
      </bottom>
      <diagonal/>
    </border>
    <border>
      <left style="medium">
        <color theme="3" tint="-0.24994659260841701"/>
      </left>
      <right style="thick">
        <color theme="3" tint="-0.24994659260841701"/>
      </right>
      <top style="thin">
        <color theme="3" tint="-0.24994659260841701"/>
      </top>
      <bottom style="thick">
        <color theme="3" tint="-0.24994659260841701"/>
      </bottom>
      <diagonal/>
    </border>
    <border>
      <left style="dashed">
        <color theme="0" tint="-0.499984740745262"/>
      </left>
      <right style="thick">
        <color theme="0" tint="-0.499984740745262"/>
      </right>
      <top style="thick">
        <color theme="3" tint="-0.24994659260841701"/>
      </top>
      <bottom style="dashed">
        <color theme="0" tint="-0.499984740745262"/>
      </bottom>
      <diagonal/>
    </border>
    <border>
      <left style="dashed">
        <color theme="0" tint="-0.499984740745262"/>
      </left>
      <right style="thick">
        <color theme="0" tint="-0.499984740745262"/>
      </right>
      <top style="dashed">
        <color theme="0" tint="-0.499984740745262"/>
      </top>
      <bottom style="dashed">
        <color theme="0" tint="-0.499984740745262"/>
      </bottom>
      <diagonal/>
    </border>
    <border>
      <left style="dashed">
        <color theme="0" tint="-0.499984740745262"/>
      </left>
      <right style="thick">
        <color theme="0" tint="-0.499984740745262"/>
      </right>
      <top style="dashed">
        <color theme="0" tint="-0.499984740745262"/>
      </top>
      <bottom style="thick">
        <color theme="3" tint="-0.24994659260841701"/>
      </bottom>
      <diagonal/>
    </border>
    <border>
      <left style="thick">
        <color theme="0" tint="-0.499984740745262"/>
      </left>
      <right/>
      <top style="thick">
        <color theme="3" tint="-0.24994659260841701"/>
      </top>
      <bottom style="dashed">
        <color theme="0" tint="-0.499984740745262"/>
      </bottom>
      <diagonal/>
    </border>
    <border>
      <left style="thick">
        <color theme="0" tint="-0.499984740745262"/>
      </left>
      <right/>
      <top style="dashed">
        <color theme="0" tint="-0.499984740745262"/>
      </top>
      <bottom style="dashed">
        <color theme="0" tint="-0.499984740745262"/>
      </bottom>
      <diagonal/>
    </border>
    <border>
      <left style="thick">
        <color theme="0" tint="-0.499984740745262"/>
      </left>
      <right/>
      <top style="dashed">
        <color theme="0" tint="-0.499984740745262"/>
      </top>
      <bottom style="thick">
        <color theme="3" tint="-0.24994659260841701"/>
      </bottom>
      <diagonal/>
    </border>
    <border>
      <left/>
      <right style="dashed">
        <color theme="0" tint="-0.499984740745262"/>
      </right>
      <top style="thick">
        <color theme="3" tint="-0.24994659260841701"/>
      </top>
      <bottom style="dashed">
        <color theme="0" tint="-0.499984740745262"/>
      </bottom>
      <diagonal/>
    </border>
    <border>
      <left/>
      <right style="dashed">
        <color theme="0" tint="-0.499984740745262"/>
      </right>
      <top style="dashed">
        <color theme="0" tint="-0.499984740745262"/>
      </top>
      <bottom style="dashed">
        <color theme="0" tint="-0.499984740745262"/>
      </bottom>
      <diagonal/>
    </border>
    <border>
      <left/>
      <right style="dashed">
        <color theme="0" tint="-0.499984740745262"/>
      </right>
      <top style="dashed">
        <color theme="0" tint="-0.499984740745262"/>
      </top>
      <bottom style="thick">
        <color theme="3" tint="-0.24994659260841701"/>
      </bottom>
      <diagonal/>
    </border>
    <border>
      <left style="dashed">
        <color theme="0" tint="-0.499984740745262"/>
      </left>
      <right/>
      <top style="thick">
        <color theme="3" tint="-0.24994659260841701"/>
      </top>
      <bottom style="dashed">
        <color theme="0" tint="-0.499984740745262"/>
      </bottom>
      <diagonal/>
    </border>
    <border>
      <left style="dashed">
        <color theme="0" tint="-0.499984740745262"/>
      </left>
      <right/>
      <top style="dashed">
        <color theme="0" tint="-0.499984740745262"/>
      </top>
      <bottom style="dashed">
        <color theme="0" tint="-0.499984740745262"/>
      </bottom>
      <diagonal/>
    </border>
    <border>
      <left style="dashed">
        <color theme="0" tint="-0.499984740745262"/>
      </left>
      <right/>
      <top style="dashed">
        <color theme="0" tint="-0.499984740745262"/>
      </top>
      <bottom style="thick">
        <color theme="3" tint="-0.24994659260841701"/>
      </bottom>
      <diagonal/>
    </border>
    <border>
      <left style="medium">
        <color theme="3" tint="-0.24994659260841701"/>
      </left>
      <right/>
      <top style="thick">
        <color theme="3" tint="-0.24994659260841701"/>
      </top>
      <bottom style="medium">
        <color theme="3" tint="-0.24994659260841701"/>
      </bottom>
      <diagonal/>
    </border>
    <border>
      <left/>
      <right/>
      <top style="thick">
        <color theme="3" tint="-0.24994659260841701"/>
      </top>
      <bottom style="medium">
        <color theme="3" tint="-0.24994659260841701"/>
      </bottom>
      <diagonal/>
    </border>
    <border>
      <left/>
      <right style="medium">
        <color theme="3" tint="-0.24994659260841701"/>
      </right>
      <top style="thick">
        <color theme="3" tint="-0.24994659260841701"/>
      </top>
      <bottom style="medium">
        <color theme="3" tint="-0.24994659260841701"/>
      </bottom>
      <diagonal/>
    </border>
    <border>
      <left style="medium">
        <color theme="3" tint="-0.24994659260841701"/>
      </left>
      <right/>
      <top style="thick">
        <color theme="3" tint="-0.24994659260841701"/>
      </top>
      <bottom style="thin">
        <color theme="3" tint="-0.24994659260841701"/>
      </bottom>
      <diagonal/>
    </border>
    <border>
      <left/>
      <right/>
      <top style="thick">
        <color theme="3" tint="-0.24994659260841701"/>
      </top>
      <bottom style="thin">
        <color theme="3" tint="-0.24994659260841701"/>
      </bottom>
      <diagonal/>
    </border>
    <border>
      <left/>
      <right style="medium">
        <color theme="3" tint="-0.24994659260841701"/>
      </right>
      <top style="thick">
        <color theme="3" tint="-0.24994659260841701"/>
      </top>
      <bottom style="thin">
        <color theme="3" tint="-0.24994659260841701"/>
      </bottom>
      <diagonal/>
    </border>
    <border>
      <left style="medium">
        <color theme="3" tint="-0.24994659260841701"/>
      </left>
      <right style="dashed">
        <color theme="3" tint="-0.24994659260841701"/>
      </right>
      <top/>
      <bottom style="thick">
        <color theme="3" tint="-0.24994659260841701"/>
      </bottom>
      <diagonal/>
    </border>
    <border>
      <left style="dashed">
        <color theme="3" tint="-0.24994659260841701"/>
      </left>
      <right style="dashed">
        <color theme="3" tint="-0.24994659260841701"/>
      </right>
      <top/>
      <bottom style="thick">
        <color theme="3" tint="-0.24994659260841701"/>
      </bottom>
      <diagonal/>
    </border>
    <border>
      <left style="dashed">
        <color theme="3" tint="-0.24994659260841701"/>
      </left>
      <right/>
      <top/>
      <bottom style="thick">
        <color theme="3" tint="-0.24994659260841701"/>
      </bottom>
      <diagonal/>
    </border>
    <border>
      <left style="medium">
        <color theme="3" tint="-0.24994659260841701"/>
      </left>
      <right style="dashed">
        <color theme="3" tint="-0.24994659260841701"/>
      </right>
      <top style="thin">
        <color theme="3" tint="-0.24994659260841701"/>
      </top>
      <bottom style="thick">
        <color theme="3" tint="-0.24994659260841701"/>
      </bottom>
      <diagonal/>
    </border>
    <border>
      <left style="dashed">
        <color theme="3" tint="-0.24994659260841701"/>
      </left>
      <right style="dashed">
        <color theme="3" tint="-0.24994659260841701"/>
      </right>
      <top style="thin">
        <color theme="3" tint="-0.24994659260841701"/>
      </top>
      <bottom style="thick">
        <color theme="3" tint="-0.24994659260841701"/>
      </bottom>
      <diagonal/>
    </border>
    <border>
      <left style="dashed">
        <color theme="3" tint="-0.24994659260841701"/>
      </left>
      <right style="medium">
        <color theme="3" tint="-0.24994659260841701"/>
      </right>
      <top style="thin">
        <color theme="3" tint="-0.24994659260841701"/>
      </top>
      <bottom style="thick">
        <color theme="3" tint="-0.24994659260841701"/>
      </bottom>
      <diagonal/>
    </border>
    <border>
      <left style="dashed">
        <color theme="3" tint="-0.24994659260841701"/>
      </left>
      <right style="thick">
        <color theme="3" tint="-0.24994659260841701"/>
      </right>
      <top style="thin">
        <color theme="3" tint="-0.24994659260841701"/>
      </top>
      <bottom style="thick">
        <color theme="3" tint="-0.24994659260841701"/>
      </bottom>
      <diagonal/>
    </border>
    <border>
      <left/>
      <right style="dashed">
        <color theme="3" tint="-0.24994659260841701"/>
      </right>
      <top style="thin">
        <color theme="3" tint="-0.24994659260841701"/>
      </top>
      <bottom style="thick">
        <color theme="3" tint="-0.24994659260841701"/>
      </bottom>
      <diagonal/>
    </border>
    <border>
      <left style="medium">
        <color theme="3" tint="-0.24994659260841701"/>
      </left>
      <right style="medium">
        <color theme="3" tint="-0.24994659260841701"/>
      </right>
      <top/>
      <bottom style="thin">
        <color theme="3" tint="-0.24994659260841701"/>
      </bottom>
      <diagonal/>
    </border>
    <border>
      <left/>
      <right/>
      <top/>
      <bottom style="thin">
        <color theme="0"/>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s>
  <cellStyleXfs count="3">
    <xf numFmtId="0" fontId="0" fillId="0" borderId="0"/>
    <xf numFmtId="9" fontId="6" fillId="0" borderId="0" applyFont="0" applyFill="0" applyBorder="0" applyAlignment="0" applyProtection="0"/>
    <xf numFmtId="0" fontId="15" fillId="0" borderId="0"/>
  </cellStyleXfs>
  <cellXfs count="525">
    <xf numFmtId="0" fontId="0" fillId="0" borderId="0" xfId="0"/>
    <xf numFmtId="0" fontId="0" fillId="0" borderId="0" xfId="0" applyFill="1"/>
    <xf numFmtId="0" fontId="7" fillId="0" borderId="0" xfId="0" applyFont="1" applyFill="1" applyBorder="1"/>
    <xf numFmtId="10" fontId="3" fillId="0" borderId="0" xfId="1" applyNumberFormat="1" applyFont="1" applyFill="1" applyBorder="1" applyAlignment="1" applyProtection="1"/>
    <xf numFmtId="10" fontId="0" fillId="0" borderId="0" xfId="1" applyNumberFormat="1" applyFont="1"/>
    <xf numFmtId="0" fontId="0" fillId="5" borderId="0" xfId="0" applyFill="1"/>
    <xf numFmtId="0" fontId="9" fillId="0" borderId="0" xfId="0" applyFont="1" applyFill="1"/>
    <xf numFmtId="0" fontId="14" fillId="0" borderId="0" xfId="0" applyFont="1" applyFill="1" applyBorder="1"/>
    <xf numFmtId="164" fontId="13" fillId="0" borderId="0" xfId="0" applyNumberFormat="1" applyFont="1" applyFill="1" applyBorder="1" applyAlignment="1">
      <alignment horizontal="center" vertical="center"/>
    </xf>
    <xf numFmtId="0" fontId="13" fillId="0" borderId="0" xfId="0" applyFont="1" applyFill="1" applyBorder="1" applyAlignment="1">
      <alignment horizontal="center"/>
    </xf>
    <xf numFmtId="0" fontId="13" fillId="0" borderId="0" xfId="0" applyFont="1" applyFill="1" applyBorder="1" applyAlignment="1">
      <alignment horizontal="center" vertical="center"/>
    </xf>
    <xf numFmtId="0" fontId="14" fillId="0" borderId="0" xfId="0" applyFont="1" applyFill="1" applyBorder="1" applyAlignment="1">
      <alignment vertical="center"/>
    </xf>
    <xf numFmtId="0" fontId="0" fillId="0" borderId="0" xfId="0" applyAlignment="1">
      <alignment vertical="center"/>
    </xf>
    <xf numFmtId="0" fontId="0" fillId="0" borderId="0" xfId="0" applyFill="1" applyAlignment="1">
      <alignment vertical="center"/>
    </xf>
    <xf numFmtId="0" fontId="17" fillId="0" borderId="0" xfId="0" applyFont="1" applyAlignment="1">
      <alignment vertical="center"/>
    </xf>
    <xf numFmtId="0" fontId="26" fillId="0" borderId="0" xfId="0" applyFont="1" applyFill="1" applyBorder="1"/>
    <xf numFmtId="0" fontId="21" fillId="0" borderId="0" xfId="0" applyFont="1"/>
    <xf numFmtId="0" fontId="16" fillId="0" borderId="0" xfId="0" applyFont="1" applyFill="1" applyBorder="1"/>
    <xf numFmtId="0" fontId="16" fillId="0" borderId="0" xfId="0" applyFont="1" applyFill="1" applyBorder="1" applyAlignment="1">
      <alignment vertical="center"/>
    </xf>
    <xf numFmtId="0" fontId="11" fillId="0" borderId="0" xfId="0" applyFont="1" applyFill="1" applyBorder="1" applyAlignment="1">
      <alignment vertical="center"/>
    </xf>
    <xf numFmtId="0" fontId="31" fillId="0" borderId="0" xfId="0" applyFont="1"/>
    <xf numFmtId="0" fontId="35" fillId="3" borderId="0" xfId="0" applyFont="1" applyFill="1" applyBorder="1" applyAlignment="1">
      <alignment vertical="center" shrinkToFit="1"/>
    </xf>
    <xf numFmtId="0" fontId="31" fillId="5" borderId="0" xfId="0" applyFont="1" applyFill="1"/>
    <xf numFmtId="0" fontId="0" fillId="8" borderId="0" xfId="0" applyFill="1" applyBorder="1"/>
    <xf numFmtId="0" fontId="38" fillId="0" borderId="18" xfId="0" applyFont="1" applyFill="1" applyBorder="1" applyAlignment="1">
      <alignment vertical="center"/>
    </xf>
    <xf numFmtId="0" fontId="40" fillId="0" borderId="18" xfId="0" applyFont="1" applyFill="1" applyBorder="1" applyAlignment="1">
      <alignment vertical="center"/>
    </xf>
    <xf numFmtId="0" fontId="41" fillId="0" borderId="18" xfId="0" applyFont="1" applyFill="1" applyBorder="1" applyAlignment="1">
      <alignment vertical="center"/>
    </xf>
    <xf numFmtId="0" fontId="28" fillId="11" borderId="16" xfId="0" applyFont="1" applyFill="1" applyBorder="1" applyAlignment="1">
      <alignment vertical="center"/>
    </xf>
    <xf numFmtId="0" fontId="28" fillId="11" borderId="17" xfId="0" applyFont="1" applyFill="1" applyBorder="1" applyAlignment="1">
      <alignment vertical="center"/>
    </xf>
    <xf numFmtId="0" fontId="28" fillId="11" borderId="0" xfId="0" applyFont="1" applyFill="1" applyBorder="1" applyAlignment="1">
      <alignment vertical="center"/>
    </xf>
    <xf numFmtId="0" fontId="40" fillId="0" borderId="18" xfId="0" applyFont="1" applyFill="1" applyBorder="1" applyAlignment="1"/>
    <xf numFmtId="0" fontId="28" fillId="11" borderId="36" xfId="0" applyFont="1" applyFill="1" applyBorder="1" applyAlignment="1">
      <alignment vertical="center"/>
    </xf>
    <xf numFmtId="0" fontId="28" fillId="11" borderId="35" xfId="0" applyFont="1" applyFill="1" applyBorder="1" applyAlignment="1">
      <alignment horizontal="right"/>
    </xf>
    <xf numFmtId="0" fontId="28" fillId="11" borderId="37" xfId="0" applyFont="1" applyFill="1" applyBorder="1" applyAlignment="1">
      <alignment vertical="center"/>
    </xf>
    <xf numFmtId="0" fontId="28" fillId="11" borderId="38" xfId="0" applyFont="1" applyFill="1" applyBorder="1" applyAlignment="1">
      <alignment horizontal="right"/>
    </xf>
    <xf numFmtId="0" fontId="28" fillId="11" borderId="39" xfId="0" applyFont="1" applyFill="1" applyBorder="1" applyAlignment="1">
      <alignment vertical="center"/>
    </xf>
    <xf numFmtId="0" fontId="28" fillId="11" borderId="24" xfId="0" applyFont="1" applyFill="1" applyBorder="1" applyAlignment="1">
      <alignment horizontal="right" vertical="center"/>
    </xf>
    <xf numFmtId="0" fontId="28" fillId="11" borderId="40" xfId="0" applyFont="1" applyFill="1" applyBorder="1" applyAlignment="1">
      <alignment vertical="center"/>
    </xf>
    <xf numFmtId="0" fontId="28" fillId="11" borderId="35" xfId="0" applyFont="1" applyFill="1" applyBorder="1" applyAlignment="1"/>
    <xf numFmtId="0" fontId="28" fillId="11" borderId="38" xfId="0" applyFont="1" applyFill="1" applyBorder="1" applyAlignment="1"/>
    <xf numFmtId="0" fontId="28" fillId="11" borderId="41" xfId="0" applyFont="1" applyFill="1" applyBorder="1" applyAlignment="1">
      <alignment vertical="center"/>
    </xf>
    <xf numFmtId="0" fontId="28" fillId="11" borderId="18" xfId="0" applyFont="1" applyFill="1" applyBorder="1" applyAlignment="1">
      <alignment vertical="center"/>
    </xf>
    <xf numFmtId="0" fontId="28" fillId="11" borderId="42" xfId="0" applyFont="1" applyFill="1" applyBorder="1" applyAlignment="1"/>
    <xf numFmtId="0" fontId="28" fillId="11" borderId="43" xfId="0" applyFont="1" applyFill="1" applyBorder="1" applyAlignment="1">
      <alignment vertical="center"/>
    </xf>
    <xf numFmtId="0" fontId="28" fillId="11" borderId="25" xfId="0" applyFont="1" applyFill="1" applyBorder="1" applyAlignment="1">
      <alignment vertical="center"/>
    </xf>
    <xf numFmtId="0" fontId="28" fillId="11" borderId="44" xfId="0" applyFont="1" applyFill="1" applyBorder="1" applyAlignment="1">
      <alignment vertical="center"/>
    </xf>
    <xf numFmtId="10" fontId="28" fillId="11" borderId="35" xfId="0" applyNumberFormat="1" applyFont="1" applyFill="1" applyBorder="1" applyAlignment="1">
      <alignment horizontal="right"/>
    </xf>
    <xf numFmtId="10" fontId="28" fillId="11" borderId="38" xfId="0" applyNumberFormat="1" applyFont="1" applyFill="1" applyBorder="1" applyAlignment="1">
      <alignment horizontal="right"/>
    </xf>
    <xf numFmtId="10" fontId="28" fillId="11" borderId="42" xfId="0" applyNumberFormat="1" applyFont="1" applyFill="1" applyBorder="1" applyAlignment="1">
      <alignment horizontal="right"/>
    </xf>
    <xf numFmtId="0" fontId="28" fillId="11" borderId="35" xfId="0" applyFont="1" applyFill="1" applyBorder="1" applyAlignment="1">
      <alignment horizontal="right" vertical="center"/>
    </xf>
    <xf numFmtId="0" fontId="28" fillId="11" borderId="38" xfId="0" applyFont="1" applyFill="1" applyBorder="1" applyAlignment="1">
      <alignment horizontal="right" vertical="center"/>
    </xf>
    <xf numFmtId="0" fontId="28" fillId="11" borderId="24" xfId="0" applyFont="1" applyFill="1" applyBorder="1" applyAlignment="1">
      <alignment vertical="center"/>
    </xf>
    <xf numFmtId="0" fontId="28" fillId="11" borderId="35" xfId="0" applyFont="1" applyFill="1" applyBorder="1" applyAlignment="1">
      <alignment vertical="center"/>
    </xf>
    <xf numFmtId="0" fontId="28" fillId="11" borderId="42" xfId="0" applyFont="1" applyFill="1" applyBorder="1" applyAlignment="1">
      <alignment vertical="center"/>
    </xf>
    <xf numFmtId="0" fontId="28" fillId="11" borderId="42" xfId="0" applyFont="1" applyFill="1" applyBorder="1" applyAlignment="1">
      <alignment horizontal="right" vertical="center"/>
    </xf>
    <xf numFmtId="10" fontId="28" fillId="11" borderId="0" xfId="1" applyNumberFormat="1" applyFont="1" applyFill="1" applyBorder="1" applyAlignment="1">
      <alignment vertical="center"/>
    </xf>
    <xf numFmtId="0" fontId="28" fillId="11" borderId="0" xfId="0" applyFont="1" applyFill="1" applyBorder="1"/>
    <xf numFmtId="0" fontId="28" fillId="11" borderId="24" xfId="0" applyFont="1" applyFill="1" applyBorder="1"/>
    <xf numFmtId="0" fontId="28" fillId="11" borderId="35" xfId="0" applyFont="1" applyFill="1" applyBorder="1"/>
    <xf numFmtId="0" fontId="28" fillId="11" borderId="38" xfId="0" applyFont="1" applyFill="1" applyBorder="1"/>
    <xf numFmtId="10" fontId="28" fillId="11" borderId="24" xfId="1" applyNumberFormat="1" applyFont="1" applyFill="1" applyBorder="1" applyAlignment="1">
      <alignment vertical="center"/>
    </xf>
    <xf numFmtId="0" fontId="28" fillId="11" borderId="38" xfId="0" applyFont="1" applyFill="1" applyBorder="1" applyAlignment="1">
      <alignment vertical="center"/>
    </xf>
    <xf numFmtId="10" fontId="28" fillId="11" borderId="35" xfId="1" applyNumberFormat="1" applyFont="1" applyFill="1" applyBorder="1" applyAlignment="1">
      <alignment vertical="center"/>
    </xf>
    <xf numFmtId="10" fontId="28" fillId="11" borderId="25" xfId="1" applyNumberFormat="1" applyFont="1" applyFill="1" applyBorder="1" applyAlignment="1">
      <alignment vertical="center"/>
    </xf>
    <xf numFmtId="0" fontId="28" fillId="11" borderId="44" xfId="0" applyFont="1" applyFill="1" applyBorder="1"/>
    <xf numFmtId="10" fontId="28" fillId="11" borderId="38" xfId="1" applyNumberFormat="1" applyFont="1" applyFill="1" applyBorder="1" applyAlignment="1">
      <alignment vertical="center"/>
    </xf>
    <xf numFmtId="10" fontId="28" fillId="11" borderId="0" xfId="1" applyNumberFormat="1" applyFont="1" applyFill="1" applyBorder="1"/>
    <xf numFmtId="0" fontId="28" fillId="11" borderId="18" xfId="0" applyFont="1" applyFill="1" applyBorder="1"/>
    <xf numFmtId="10" fontId="28" fillId="11" borderId="25" xfId="1" applyNumberFormat="1" applyFont="1" applyFill="1" applyBorder="1"/>
    <xf numFmtId="10" fontId="28" fillId="11" borderId="24" xfId="1" applyNumberFormat="1" applyFont="1" applyFill="1" applyBorder="1"/>
    <xf numFmtId="10" fontId="28" fillId="11" borderId="35" xfId="1" applyNumberFormat="1" applyFont="1" applyFill="1" applyBorder="1"/>
    <xf numFmtId="0" fontId="28" fillId="11" borderId="42" xfId="0" applyFont="1" applyFill="1" applyBorder="1"/>
    <xf numFmtId="0" fontId="39" fillId="7" borderId="19" xfId="0" applyFont="1" applyFill="1" applyBorder="1" applyAlignment="1">
      <alignment horizontal="center" vertical="center" wrapText="1"/>
    </xf>
    <xf numFmtId="0" fontId="39" fillId="7" borderId="55" xfId="0" applyFont="1" applyFill="1" applyBorder="1" applyAlignment="1">
      <alignment horizontal="center" vertical="center" wrapText="1"/>
    </xf>
    <xf numFmtId="0" fontId="44" fillId="0" borderId="0" xfId="0" applyFont="1"/>
    <xf numFmtId="0" fontId="42" fillId="7" borderId="56" xfId="0" applyFont="1" applyFill="1" applyBorder="1" applyAlignment="1">
      <alignment horizontal="center"/>
    </xf>
    <xf numFmtId="0" fontId="42" fillId="7" borderId="38" xfId="0" applyFont="1" applyFill="1" applyBorder="1" applyAlignment="1">
      <alignment horizontal="center" vertical="center"/>
    </xf>
    <xf numFmtId="0" fontId="42" fillId="7" borderId="56" xfId="0" applyFont="1" applyFill="1" applyBorder="1" applyAlignment="1">
      <alignment horizontal="center" vertical="center"/>
    </xf>
    <xf numFmtId="0" fontId="30" fillId="0" borderId="3" xfId="0" applyNumberFormat="1" applyFont="1" applyFill="1" applyBorder="1" applyAlignment="1"/>
    <xf numFmtId="0" fontId="30" fillId="0" borderId="2" xfId="0" applyNumberFormat="1" applyFont="1" applyFill="1" applyBorder="1" applyAlignment="1"/>
    <xf numFmtId="3" fontId="0" fillId="0" borderId="0" xfId="0" applyNumberFormat="1"/>
    <xf numFmtId="0" fontId="40" fillId="0" borderId="0" xfId="0" applyFont="1" applyFill="1" applyBorder="1" applyAlignment="1">
      <alignment vertical="center"/>
    </xf>
    <xf numFmtId="0" fontId="28" fillId="0" borderId="0" xfId="0" applyFont="1" applyFill="1" applyBorder="1" applyAlignment="1">
      <alignment vertical="center"/>
    </xf>
    <xf numFmtId="0" fontId="0" fillId="0" borderId="0" xfId="0" applyBorder="1"/>
    <xf numFmtId="0" fontId="0" fillId="8" borderId="0" xfId="0" applyFill="1"/>
    <xf numFmtId="2" fontId="0" fillId="0" borderId="0" xfId="0" applyNumberFormat="1" applyFill="1"/>
    <xf numFmtId="0" fontId="42" fillId="13" borderId="0" xfId="0" applyFont="1" applyFill="1" applyBorder="1" applyAlignment="1">
      <alignment vertical="center"/>
    </xf>
    <xf numFmtId="0" fontId="42" fillId="13" borderId="18" xfId="0" applyFont="1" applyFill="1" applyBorder="1" applyAlignment="1">
      <alignment vertical="center"/>
    </xf>
    <xf numFmtId="0" fontId="28" fillId="13" borderId="24" xfId="0" applyFont="1" applyFill="1" applyBorder="1" applyAlignment="1">
      <alignment vertical="center"/>
    </xf>
    <xf numFmtId="0" fontId="28" fillId="13" borderId="25" xfId="0" applyFont="1" applyFill="1" applyBorder="1" applyAlignment="1">
      <alignment vertical="center"/>
    </xf>
    <xf numFmtId="0" fontId="28" fillId="13" borderId="36" xfId="0" applyFont="1" applyFill="1" applyBorder="1" applyAlignment="1">
      <alignment vertical="center"/>
    </xf>
    <xf numFmtId="10" fontId="28" fillId="13" borderId="25" xfId="1" applyNumberFormat="1" applyFont="1" applyFill="1" applyBorder="1" applyAlignment="1">
      <alignment vertical="center"/>
    </xf>
    <xf numFmtId="10" fontId="28" fillId="13" borderId="24" xfId="1" applyNumberFormat="1" applyFont="1" applyFill="1" applyBorder="1" applyAlignment="1">
      <alignment vertical="center"/>
    </xf>
    <xf numFmtId="0" fontId="28" fillId="13" borderId="40" xfId="0" applyFont="1" applyFill="1" applyBorder="1" applyAlignment="1">
      <alignment vertical="center"/>
    </xf>
    <xf numFmtId="0" fontId="28" fillId="13" borderId="35" xfId="0" applyFont="1" applyFill="1" applyBorder="1" applyAlignment="1">
      <alignment vertical="center"/>
    </xf>
    <xf numFmtId="0" fontId="28" fillId="13" borderId="0" xfId="0" applyFont="1" applyFill="1" applyBorder="1" applyAlignment="1">
      <alignment vertical="center"/>
    </xf>
    <xf numFmtId="0" fontId="28" fillId="13" borderId="37" xfId="0" applyFont="1" applyFill="1" applyBorder="1" applyAlignment="1">
      <alignment vertical="center"/>
    </xf>
    <xf numFmtId="0" fontId="28" fillId="13" borderId="16" xfId="0" applyFont="1" applyFill="1" applyBorder="1" applyAlignment="1">
      <alignment vertical="center"/>
    </xf>
    <xf numFmtId="0" fontId="28" fillId="13" borderId="38" xfId="0" applyFont="1" applyFill="1" applyBorder="1" applyAlignment="1">
      <alignment vertical="center"/>
    </xf>
    <xf numFmtId="0" fontId="28" fillId="13" borderId="44" xfId="0" applyFont="1" applyFill="1" applyBorder="1" applyAlignment="1">
      <alignment vertical="center"/>
    </xf>
    <xf numFmtId="10" fontId="28" fillId="13" borderId="0" xfId="1" applyNumberFormat="1" applyFont="1" applyFill="1" applyBorder="1" applyAlignment="1">
      <alignment vertical="center"/>
    </xf>
    <xf numFmtId="10" fontId="28" fillId="13" borderId="35" xfId="1" applyNumberFormat="1" applyFont="1" applyFill="1" applyBorder="1" applyAlignment="1">
      <alignment vertical="center"/>
    </xf>
    <xf numFmtId="0" fontId="28" fillId="13" borderId="42" xfId="0" applyFont="1" applyFill="1" applyBorder="1" applyAlignment="1">
      <alignment vertical="center"/>
    </xf>
    <xf numFmtId="0" fontId="28" fillId="13" borderId="18" xfId="0" applyFont="1" applyFill="1" applyBorder="1" applyAlignment="1">
      <alignment vertical="center"/>
    </xf>
    <xf numFmtId="0" fontId="28" fillId="13" borderId="24" xfId="0" applyFont="1" applyFill="1" applyBorder="1"/>
    <xf numFmtId="10" fontId="28" fillId="13" borderId="25" xfId="1" applyNumberFormat="1" applyFont="1" applyFill="1" applyBorder="1"/>
    <xf numFmtId="10" fontId="28" fillId="13" borderId="24" xfId="1" applyNumberFormat="1" applyFont="1" applyFill="1" applyBorder="1"/>
    <xf numFmtId="0" fontId="28" fillId="13" borderId="35" xfId="0" applyFont="1" applyFill="1" applyBorder="1"/>
    <xf numFmtId="0" fontId="28" fillId="13" borderId="0" xfId="0" applyFont="1" applyFill="1" applyBorder="1"/>
    <xf numFmtId="0" fontId="28" fillId="13" borderId="38" xfId="0" applyFont="1" applyFill="1" applyBorder="1"/>
    <xf numFmtId="0" fontId="28" fillId="13" borderId="44" xfId="0" applyFont="1" applyFill="1" applyBorder="1"/>
    <xf numFmtId="10" fontId="28" fillId="13" borderId="0" xfId="1" applyNumberFormat="1" applyFont="1" applyFill="1" applyBorder="1"/>
    <xf numFmtId="10" fontId="28" fillId="13" borderId="35" xfId="1" applyNumberFormat="1" applyFont="1" applyFill="1" applyBorder="1"/>
    <xf numFmtId="0" fontId="28" fillId="13" borderId="42" xfId="0" applyFont="1" applyFill="1" applyBorder="1"/>
    <xf numFmtId="0" fontId="28" fillId="13" borderId="18" xfId="0" applyFont="1" applyFill="1" applyBorder="1"/>
    <xf numFmtId="10" fontId="28" fillId="13" borderId="38" xfId="1" applyNumberFormat="1" applyFont="1" applyFill="1" applyBorder="1" applyAlignment="1">
      <alignment vertical="center"/>
    </xf>
    <xf numFmtId="0" fontId="28" fillId="13" borderId="25" xfId="0" applyFont="1" applyFill="1" applyBorder="1"/>
    <xf numFmtId="0" fontId="8" fillId="13" borderId="0" xfId="0" applyFont="1" applyFill="1" applyBorder="1"/>
    <xf numFmtId="0" fontId="0" fillId="13" borderId="0" xfId="0" applyFill="1"/>
    <xf numFmtId="0" fontId="28" fillId="13" borderId="0" xfId="0" applyFont="1" applyFill="1" applyBorder="1" applyAlignment="1">
      <alignment horizontal="right"/>
    </xf>
    <xf numFmtId="0" fontId="0" fillId="13" borderId="0" xfId="0" applyFill="1" applyAlignment="1">
      <alignment vertical="center"/>
    </xf>
    <xf numFmtId="0" fontId="28" fillId="13" borderId="0" xfId="0" applyFont="1" applyFill="1" applyBorder="1" applyAlignment="1">
      <alignment horizontal="right" vertical="center"/>
    </xf>
    <xf numFmtId="0" fontId="28" fillId="13" borderId="0" xfId="0" applyFont="1" applyFill="1" applyBorder="1" applyAlignment="1"/>
    <xf numFmtId="10" fontId="28" fillId="13" borderId="0" xfId="0" applyNumberFormat="1" applyFont="1" applyFill="1" applyBorder="1" applyAlignment="1"/>
    <xf numFmtId="10" fontId="28" fillId="13" borderId="0" xfId="0" applyNumberFormat="1" applyFont="1" applyFill="1" applyBorder="1" applyAlignment="1">
      <alignment horizontal="right"/>
    </xf>
    <xf numFmtId="0" fontId="28" fillId="13" borderId="0" xfId="0" applyFont="1" applyFill="1" applyBorder="1" applyAlignment="1">
      <alignment horizontal="center" vertical="center"/>
    </xf>
    <xf numFmtId="10" fontId="28" fillId="13" borderId="0" xfId="1" applyNumberFormat="1" applyFont="1" applyFill="1" applyBorder="1" applyAlignment="1"/>
    <xf numFmtId="165" fontId="20" fillId="13" borderId="0" xfId="0" applyNumberFormat="1" applyFont="1" applyFill="1" applyBorder="1" applyAlignment="1">
      <alignment horizontal="center" vertical="center" wrapText="1"/>
    </xf>
    <xf numFmtId="0" fontId="45" fillId="13" borderId="0" xfId="0" applyFont="1" applyFill="1" applyBorder="1"/>
    <xf numFmtId="10" fontId="0" fillId="13" borderId="0" xfId="1" applyNumberFormat="1" applyFont="1" applyFill="1"/>
    <xf numFmtId="10" fontId="28" fillId="11" borderId="25" xfId="0" applyNumberFormat="1" applyFont="1" applyFill="1" applyBorder="1" applyAlignment="1"/>
    <xf numFmtId="0" fontId="28" fillId="11" borderId="35" xfId="0" applyFont="1" applyFill="1" applyBorder="1" applyAlignment="1">
      <alignment horizontal="center" vertical="center"/>
    </xf>
    <xf numFmtId="0" fontId="28" fillId="11" borderId="0" xfId="0" applyFont="1" applyFill="1" applyBorder="1" applyAlignment="1"/>
    <xf numFmtId="10" fontId="28" fillId="11" borderId="0" xfId="0" applyNumberFormat="1" applyFont="1" applyFill="1" applyBorder="1" applyAlignment="1"/>
    <xf numFmtId="0" fontId="28" fillId="11" borderId="42" xfId="0" applyFont="1" applyFill="1" applyBorder="1" applyAlignment="1">
      <alignment horizontal="right"/>
    </xf>
    <xf numFmtId="10" fontId="28" fillId="11" borderId="18" xfId="0" applyNumberFormat="1" applyFont="1" applyFill="1" applyBorder="1" applyAlignment="1"/>
    <xf numFmtId="10" fontId="28" fillId="11" borderId="44" xfId="0" applyNumberFormat="1" applyFont="1" applyFill="1" applyBorder="1" applyAlignment="1"/>
    <xf numFmtId="10" fontId="28" fillId="11" borderId="24" xfId="1" applyNumberFormat="1" applyFont="1" applyFill="1" applyBorder="1" applyAlignment="1">
      <alignment horizontal="right" vertical="center"/>
    </xf>
    <xf numFmtId="10" fontId="28" fillId="11" borderId="35" xfId="1" applyNumberFormat="1" applyFont="1" applyFill="1" applyBorder="1" applyAlignment="1">
      <alignment horizontal="right" vertical="center"/>
    </xf>
    <xf numFmtId="10" fontId="28" fillId="11" borderId="38" xfId="1" applyNumberFormat="1" applyFont="1" applyFill="1" applyBorder="1" applyAlignment="1">
      <alignment horizontal="right" vertical="center"/>
    </xf>
    <xf numFmtId="10" fontId="28" fillId="11" borderId="42" xfId="1" applyNumberFormat="1" applyFont="1" applyFill="1" applyBorder="1" applyAlignment="1">
      <alignment horizontal="right" vertical="center"/>
    </xf>
    <xf numFmtId="0" fontId="47" fillId="4" borderId="19" xfId="0" applyFont="1" applyFill="1" applyBorder="1"/>
    <xf numFmtId="0" fontId="49" fillId="10" borderId="19" xfId="0" applyFont="1" applyFill="1" applyBorder="1"/>
    <xf numFmtId="0" fontId="47" fillId="9" borderId="21" xfId="0" applyFont="1" applyFill="1" applyBorder="1"/>
    <xf numFmtId="0" fontId="46" fillId="0" borderId="0" xfId="0" applyFont="1" applyFill="1" applyBorder="1" applyAlignment="1">
      <alignment vertical="center"/>
    </xf>
    <xf numFmtId="0" fontId="46" fillId="0" borderId="0" xfId="0" applyFont="1" applyAlignment="1">
      <alignment vertical="top"/>
    </xf>
    <xf numFmtId="0" fontId="46" fillId="0" borderId="0" xfId="0" applyFont="1" applyAlignment="1">
      <alignment vertical="center"/>
    </xf>
    <xf numFmtId="0" fontId="48" fillId="0" borderId="0" xfId="0" applyFont="1" applyAlignment="1">
      <alignment vertical="top"/>
    </xf>
    <xf numFmtId="0" fontId="0" fillId="0" borderId="0" xfId="0" applyAlignment="1">
      <alignment vertical="top"/>
    </xf>
    <xf numFmtId="0" fontId="52" fillId="0" borderId="0" xfId="0" applyFont="1" applyAlignment="1">
      <alignment vertical="top"/>
    </xf>
    <xf numFmtId="0" fontId="53" fillId="0" borderId="0" xfId="0" applyFont="1" applyAlignment="1">
      <alignment horizontal="left" vertical="center"/>
    </xf>
    <xf numFmtId="164" fontId="40" fillId="9" borderId="0" xfId="0" applyNumberFormat="1" applyFont="1" applyFill="1" applyBorder="1" applyAlignment="1">
      <alignment horizontal="center" vertical="center"/>
    </xf>
    <xf numFmtId="0" fontId="48" fillId="0" borderId="0" xfId="0" applyFont="1" applyAlignment="1">
      <alignment horizontal="left" vertical="top"/>
    </xf>
    <xf numFmtId="0" fontId="53" fillId="0" borderId="0" xfId="0" applyFont="1" applyAlignment="1">
      <alignment vertical="top"/>
    </xf>
    <xf numFmtId="165" fontId="11" fillId="6" borderId="90" xfId="0" applyNumberFormat="1" applyFont="1" applyFill="1" applyBorder="1" applyAlignment="1">
      <alignment horizontal="center" vertical="center" wrapText="1"/>
    </xf>
    <xf numFmtId="165" fontId="11" fillId="6" borderId="91" xfId="0" applyNumberFormat="1" applyFont="1" applyFill="1" applyBorder="1" applyAlignment="1">
      <alignment horizontal="center" vertical="center" wrapText="1"/>
    </xf>
    <xf numFmtId="165" fontId="11" fillId="6" borderId="85" xfId="0" applyNumberFormat="1" applyFont="1" applyFill="1" applyBorder="1" applyAlignment="1">
      <alignment horizontal="center" vertical="center" wrapText="1"/>
    </xf>
    <xf numFmtId="165" fontId="11" fillId="6" borderId="87" xfId="0" applyNumberFormat="1" applyFont="1" applyFill="1" applyBorder="1" applyAlignment="1">
      <alignment horizontal="center" vertical="center" wrapText="1"/>
    </xf>
    <xf numFmtId="0" fontId="11" fillId="6" borderId="92" xfId="0" applyNumberFormat="1" applyFont="1" applyFill="1" applyBorder="1" applyAlignment="1">
      <alignment horizontal="center" vertical="center" wrapText="1"/>
    </xf>
    <xf numFmtId="165" fontId="11" fillId="6" borderId="93" xfId="0" applyNumberFormat="1" applyFont="1" applyFill="1" applyBorder="1" applyAlignment="1">
      <alignment horizontal="center" vertical="center" wrapText="1"/>
    </xf>
    <xf numFmtId="0" fontId="11" fillId="6" borderId="96" xfId="0" applyNumberFormat="1" applyFont="1" applyFill="1" applyBorder="1" applyAlignment="1">
      <alignment horizontal="center" vertical="center"/>
    </xf>
    <xf numFmtId="0" fontId="11" fillId="6" borderId="97" xfId="0" applyNumberFormat="1" applyFont="1" applyFill="1" applyBorder="1" applyAlignment="1">
      <alignment horizontal="center" vertical="center"/>
    </xf>
    <xf numFmtId="0" fontId="11" fillId="6" borderId="99" xfId="0" applyNumberFormat="1" applyFont="1" applyFill="1" applyBorder="1" applyAlignment="1">
      <alignment horizontal="center" vertical="center"/>
    </xf>
    <xf numFmtId="0" fontId="22" fillId="0" borderId="100" xfId="0" applyNumberFormat="1" applyFont="1" applyFill="1" applyBorder="1" applyAlignment="1">
      <alignment vertical="center"/>
    </xf>
    <xf numFmtId="0" fontId="22" fillId="0" borderId="101" xfId="0" applyNumberFormat="1" applyFont="1" applyFill="1" applyBorder="1" applyAlignment="1">
      <alignment vertical="center"/>
    </xf>
    <xf numFmtId="10" fontId="10" fillId="0" borderId="102" xfId="1" applyNumberFormat="1" applyFont="1" applyFill="1" applyBorder="1" applyAlignment="1" applyProtection="1">
      <alignment vertical="center"/>
    </xf>
    <xf numFmtId="10" fontId="10" fillId="0" borderId="103" xfId="1" applyNumberFormat="1" applyFont="1" applyFill="1" applyBorder="1" applyAlignment="1" applyProtection="1">
      <alignment vertical="center"/>
    </xf>
    <xf numFmtId="10" fontId="10" fillId="0" borderId="104" xfId="1" applyNumberFormat="1" applyFont="1" applyFill="1" applyBorder="1" applyAlignment="1" applyProtection="1">
      <alignment vertical="center"/>
    </xf>
    <xf numFmtId="0" fontId="22" fillId="0" borderId="105" xfId="0" applyNumberFormat="1" applyFont="1" applyFill="1" applyBorder="1" applyAlignment="1">
      <alignment vertical="center"/>
    </xf>
    <xf numFmtId="0" fontId="22" fillId="0" borderId="106" xfId="0" applyNumberFormat="1" applyFont="1" applyFill="1" applyBorder="1" applyAlignment="1">
      <alignment vertical="center"/>
    </xf>
    <xf numFmtId="3" fontId="10" fillId="0" borderId="107" xfId="0" applyNumberFormat="1" applyFont="1" applyFill="1" applyBorder="1" applyAlignment="1" applyProtection="1">
      <alignment vertical="center"/>
      <protection locked="0"/>
    </xf>
    <xf numFmtId="3" fontId="10" fillId="0" borderId="108" xfId="0" applyNumberFormat="1" applyFont="1" applyFill="1" applyBorder="1" applyAlignment="1" applyProtection="1">
      <alignment vertical="center"/>
      <protection locked="0"/>
    </xf>
    <xf numFmtId="3" fontId="10" fillId="0" borderId="109" xfId="0" applyNumberFormat="1" applyFont="1" applyFill="1" applyBorder="1" applyAlignment="1" applyProtection="1">
      <alignment vertical="center"/>
      <protection locked="0"/>
    </xf>
    <xf numFmtId="3" fontId="27" fillId="0" borderId="110" xfId="0" applyNumberFormat="1" applyFont="1" applyFill="1" applyBorder="1" applyAlignment="1" applyProtection="1">
      <alignment vertical="center"/>
      <protection locked="0"/>
    </xf>
    <xf numFmtId="3" fontId="27" fillId="0" borderId="111" xfId="0" applyNumberFormat="1" applyFont="1" applyFill="1" applyBorder="1" applyAlignment="1" applyProtection="1">
      <alignment vertical="center"/>
      <protection locked="0"/>
    </xf>
    <xf numFmtId="3" fontId="27" fillId="0" borderId="112" xfId="0" applyNumberFormat="1" applyFont="1" applyFill="1" applyBorder="1" applyAlignment="1" applyProtection="1">
      <alignment vertical="center"/>
      <protection locked="0"/>
    </xf>
    <xf numFmtId="3" fontId="10" fillId="0" borderId="113" xfId="0" applyNumberFormat="1" applyFont="1" applyFill="1" applyBorder="1" applyAlignment="1" applyProtection="1">
      <alignment vertical="center"/>
    </xf>
    <xf numFmtId="3" fontId="10" fillId="0" borderId="114" xfId="0" applyNumberFormat="1" applyFont="1" applyFill="1" applyBorder="1" applyAlignment="1" applyProtection="1">
      <alignment vertical="center"/>
    </xf>
    <xf numFmtId="3" fontId="10" fillId="0" borderId="115" xfId="0" applyNumberFormat="1" applyFont="1" applyFill="1" applyBorder="1" applyAlignment="1" applyProtection="1">
      <alignment vertical="center"/>
    </xf>
    <xf numFmtId="10" fontId="10" fillId="0" borderId="116" xfId="1" applyNumberFormat="1" applyFont="1" applyFill="1" applyBorder="1" applyAlignment="1" applyProtection="1">
      <alignment vertical="center"/>
    </xf>
    <xf numFmtId="10" fontId="10" fillId="0" borderId="117" xfId="1" applyNumberFormat="1" applyFont="1" applyFill="1" applyBorder="1" applyAlignment="1" applyProtection="1">
      <alignment vertical="center"/>
    </xf>
    <xf numFmtId="10" fontId="10" fillId="0" borderId="118" xfId="1" applyNumberFormat="1" applyFont="1" applyFill="1" applyBorder="1" applyAlignment="1" applyProtection="1">
      <alignment vertical="center"/>
    </xf>
    <xf numFmtId="3" fontId="10" fillId="0" borderId="119" xfId="0" applyNumberFormat="1" applyFont="1" applyFill="1" applyBorder="1" applyAlignment="1" applyProtection="1">
      <alignment vertical="center"/>
    </xf>
    <xf numFmtId="3" fontId="10" fillId="0" borderId="120" xfId="0" applyNumberFormat="1" applyFont="1" applyFill="1" applyBorder="1" applyAlignment="1" applyProtection="1">
      <alignment vertical="center"/>
    </xf>
    <xf numFmtId="3" fontId="10" fillId="0" borderId="121" xfId="0" applyNumberFormat="1" applyFont="1" applyFill="1" applyBorder="1" applyAlignment="1" applyProtection="1">
      <alignment vertical="center"/>
    </xf>
    <xf numFmtId="0" fontId="22" fillId="0" borderId="122" xfId="0" applyNumberFormat="1" applyFont="1" applyFill="1" applyBorder="1" applyAlignment="1">
      <alignment vertical="center"/>
    </xf>
    <xf numFmtId="0" fontId="22" fillId="0" borderId="123" xfId="0" applyNumberFormat="1" applyFont="1" applyFill="1" applyBorder="1" applyAlignment="1">
      <alignment vertical="center"/>
    </xf>
    <xf numFmtId="0" fontId="11" fillId="6" borderId="124" xfId="0" applyNumberFormat="1" applyFont="1" applyFill="1" applyBorder="1" applyAlignment="1">
      <alignment horizontal="center"/>
    </xf>
    <xf numFmtId="3" fontId="12" fillId="6" borderId="89" xfId="0" applyNumberFormat="1" applyFont="1" applyFill="1" applyBorder="1" applyAlignment="1">
      <alignment vertical="center"/>
    </xf>
    <xf numFmtId="10" fontId="12" fillId="6" borderId="89" xfId="1" applyNumberFormat="1" applyFont="1" applyFill="1" applyBorder="1" applyAlignment="1">
      <alignment vertical="center"/>
    </xf>
    <xf numFmtId="10" fontId="12" fillId="6" borderId="88" xfId="1" applyNumberFormat="1" applyFont="1" applyFill="1" applyBorder="1" applyAlignment="1">
      <alignment vertical="center"/>
    </xf>
    <xf numFmtId="3" fontId="12" fillId="6" borderId="125" xfId="0" applyNumberFormat="1" applyFont="1" applyFill="1" applyBorder="1" applyAlignment="1">
      <alignment vertical="center"/>
    </xf>
    <xf numFmtId="0" fontId="11" fillId="6" borderId="125" xfId="0" applyNumberFormat="1" applyFont="1" applyFill="1" applyBorder="1" applyAlignment="1">
      <alignment horizontal="center"/>
    </xf>
    <xf numFmtId="3" fontId="37" fillId="6" borderId="89" xfId="0" applyNumberFormat="1" applyFont="1" applyFill="1" applyBorder="1" applyAlignment="1">
      <alignment vertical="center"/>
    </xf>
    <xf numFmtId="10" fontId="37" fillId="6" borderId="89" xfId="1" applyNumberFormat="1" applyFont="1" applyFill="1" applyBorder="1" applyAlignment="1">
      <alignment vertical="center"/>
    </xf>
    <xf numFmtId="10" fontId="37" fillId="6" borderId="88" xfId="1" applyNumberFormat="1" applyFont="1" applyFill="1" applyBorder="1" applyAlignment="1">
      <alignment vertical="center"/>
    </xf>
    <xf numFmtId="0" fontId="34" fillId="6" borderId="124" xfId="0" applyNumberFormat="1" applyFont="1" applyFill="1" applyBorder="1" applyAlignment="1">
      <alignment horizontal="center" vertical="center"/>
    </xf>
    <xf numFmtId="0" fontId="11" fillId="6" borderId="125" xfId="0" applyNumberFormat="1" applyFont="1" applyFill="1" applyBorder="1" applyAlignment="1">
      <alignment horizontal="center" vertical="center"/>
    </xf>
    <xf numFmtId="0" fontId="25" fillId="6" borderId="130" xfId="0" applyNumberFormat="1" applyFont="1" applyFill="1" applyBorder="1" applyAlignment="1">
      <alignment horizontal="center" vertical="center" wrapText="1"/>
    </xf>
    <xf numFmtId="0" fontId="25" fillId="6" borderId="131" xfId="0" applyNumberFormat="1" applyFont="1" applyFill="1" applyBorder="1" applyAlignment="1">
      <alignment horizontal="center" vertical="center" wrapText="1"/>
    </xf>
    <xf numFmtId="0" fontId="22" fillId="0" borderId="110" xfId="0" applyNumberFormat="1" applyFont="1" applyFill="1" applyBorder="1" applyAlignment="1">
      <alignment vertical="center"/>
    </xf>
    <xf numFmtId="0" fontId="22" fillId="0" borderId="111" xfId="0" applyNumberFormat="1" applyFont="1" applyFill="1" applyBorder="1" applyAlignment="1">
      <alignment vertical="center"/>
    </xf>
    <xf numFmtId="0" fontId="22" fillId="0" borderId="112" xfId="0" applyNumberFormat="1" applyFont="1" applyFill="1" applyBorder="1" applyAlignment="1">
      <alignment vertical="center"/>
    </xf>
    <xf numFmtId="0" fontId="22" fillId="0" borderId="132" xfId="0" applyNumberFormat="1" applyFont="1" applyFill="1" applyBorder="1" applyAlignment="1">
      <alignment vertical="center"/>
    </xf>
    <xf numFmtId="3" fontId="32" fillId="0" borderId="133" xfId="0" applyNumberFormat="1" applyFont="1" applyFill="1" applyBorder="1" applyAlignment="1" applyProtection="1">
      <alignment vertical="center"/>
      <protection locked="0"/>
    </xf>
    <xf numFmtId="3" fontId="32" fillId="0" borderId="134" xfId="0" applyNumberFormat="1" applyFont="1" applyFill="1" applyBorder="1" applyAlignment="1" applyProtection="1">
      <alignment vertical="center"/>
      <protection locked="0"/>
    </xf>
    <xf numFmtId="3" fontId="32" fillId="0" borderId="135" xfId="0" applyNumberFormat="1" applyFont="1" applyFill="1" applyBorder="1" applyAlignment="1" applyProtection="1">
      <alignment vertical="center"/>
      <protection locked="0"/>
    </xf>
    <xf numFmtId="3" fontId="32" fillId="0" borderId="136" xfId="0" applyNumberFormat="1" applyFont="1" applyFill="1" applyBorder="1" applyAlignment="1" applyProtection="1">
      <alignment vertical="center"/>
      <protection locked="0"/>
    </xf>
    <xf numFmtId="3" fontId="32" fillId="0" borderId="137" xfId="0" applyNumberFormat="1" applyFont="1" applyFill="1" applyBorder="1" applyAlignment="1" applyProtection="1">
      <alignment vertical="center"/>
      <protection locked="0"/>
    </xf>
    <xf numFmtId="3" fontId="32" fillId="0" borderId="138" xfId="0" applyNumberFormat="1" applyFont="1" applyFill="1" applyBorder="1" applyAlignment="1" applyProtection="1">
      <alignment vertical="center"/>
      <protection locked="0"/>
    </xf>
    <xf numFmtId="3" fontId="33" fillId="0" borderId="137" xfId="0" applyNumberFormat="1" applyFont="1" applyFill="1" applyBorder="1" applyAlignment="1" applyProtection="1">
      <alignment vertical="center"/>
      <protection locked="0"/>
    </xf>
    <xf numFmtId="3" fontId="33" fillId="0" borderId="138" xfId="0" applyNumberFormat="1" applyFont="1" applyFill="1" applyBorder="1" applyAlignment="1" applyProtection="1">
      <alignment vertical="center"/>
      <protection locked="0"/>
    </xf>
    <xf numFmtId="3" fontId="32" fillId="0" borderId="139" xfId="0" applyNumberFormat="1" applyFont="1" applyFill="1" applyBorder="1" applyAlignment="1" applyProtection="1">
      <alignment vertical="center"/>
      <protection locked="0"/>
    </xf>
    <xf numFmtId="3" fontId="32" fillId="0" borderId="140" xfId="0" applyNumberFormat="1" applyFont="1" applyFill="1" applyBorder="1" applyAlignment="1" applyProtection="1">
      <alignment vertical="center"/>
      <protection locked="0"/>
    </xf>
    <xf numFmtId="3" fontId="32" fillId="0" borderId="141" xfId="0" applyNumberFormat="1" applyFont="1" applyFill="1" applyBorder="1" applyAlignment="1" applyProtection="1">
      <alignment vertical="center"/>
      <protection locked="0"/>
    </xf>
    <xf numFmtId="3" fontId="33" fillId="0" borderId="133" xfId="0" applyNumberFormat="1" applyFont="1" applyFill="1" applyBorder="1" applyAlignment="1" applyProtection="1">
      <alignment vertical="center"/>
      <protection locked="0"/>
    </xf>
    <xf numFmtId="3" fontId="33" fillId="0" borderId="134" xfId="0" applyNumberFormat="1" applyFont="1" applyFill="1" applyBorder="1" applyAlignment="1" applyProtection="1">
      <alignment vertical="center"/>
      <protection locked="0"/>
    </xf>
    <xf numFmtId="3" fontId="33" fillId="0" borderId="135" xfId="0" applyNumberFormat="1" applyFont="1" applyFill="1" applyBorder="1" applyAlignment="1" applyProtection="1">
      <alignment vertical="center"/>
      <protection locked="0"/>
    </xf>
    <xf numFmtId="3" fontId="33" fillId="0" borderId="136" xfId="0" applyNumberFormat="1" applyFont="1" applyFill="1" applyBorder="1" applyAlignment="1" applyProtection="1">
      <alignment vertical="center"/>
      <protection locked="0"/>
    </xf>
    <xf numFmtId="3" fontId="33" fillId="0" borderId="139" xfId="0" applyNumberFormat="1" applyFont="1" applyFill="1" applyBorder="1" applyAlignment="1" applyProtection="1">
      <alignment vertical="center"/>
      <protection locked="0"/>
    </xf>
    <xf numFmtId="3" fontId="33" fillId="0" borderId="140" xfId="0" applyNumberFormat="1" applyFont="1" applyFill="1" applyBorder="1" applyAlignment="1" applyProtection="1">
      <alignment vertical="center"/>
      <protection locked="0"/>
    </xf>
    <xf numFmtId="3" fontId="33" fillId="0" borderId="141" xfId="0" applyNumberFormat="1" applyFont="1" applyFill="1" applyBorder="1" applyAlignment="1" applyProtection="1">
      <alignment vertical="center"/>
      <protection locked="0"/>
    </xf>
    <xf numFmtId="3" fontId="33" fillId="0" borderId="133" xfId="0" applyNumberFormat="1" applyFont="1" applyFill="1" applyBorder="1" applyAlignment="1">
      <alignment vertical="center"/>
    </xf>
    <xf numFmtId="3" fontId="33" fillId="0" borderId="134" xfId="0" applyNumberFormat="1" applyFont="1" applyFill="1" applyBorder="1" applyAlignment="1">
      <alignment vertical="center"/>
    </xf>
    <xf numFmtId="3" fontId="33" fillId="0" borderId="135" xfId="0" applyNumberFormat="1" applyFont="1" applyFill="1" applyBorder="1" applyAlignment="1">
      <alignment vertical="center"/>
    </xf>
    <xf numFmtId="3" fontId="33" fillId="0" borderId="136" xfId="0" applyNumberFormat="1" applyFont="1" applyFill="1" applyBorder="1" applyAlignment="1">
      <alignment vertical="center"/>
    </xf>
    <xf numFmtId="3" fontId="33" fillId="0" borderId="137" xfId="0" applyNumberFormat="1" applyFont="1" applyFill="1" applyBorder="1" applyAlignment="1">
      <alignment vertical="center"/>
    </xf>
    <xf numFmtId="3" fontId="33" fillId="0" borderId="138" xfId="0" applyNumberFormat="1" applyFont="1" applyFill="1" applyBorder="1" applyAlignment="1">
      <alignment vertical="center"/>
    </xf>
    <xf numFmtId="3" fontId="33" fillId="0" borderId="139" xfId="0" applyNumberFormat="1" applyFont="1" applyFill="1" applyBorder="1" applyAlignment="1">
      <alignment vertical="center"/>
    </xf>
    <xf numFmtId="3" fontId="33" fillId="0" borderId="140" xfId="0" applyNumberFormat="1" applyFont="1" applyFill="1" applyBorder="1" applyAlignment="1">
      <alignment vertical="center"/>
    </xf>
    <xf numFmtId="3" fontId="33" fillId="0" borderId="141" xfId="0" applyNumberFormat="1" applyFont="1" applyFill="1" applyBorder="1" applyAlignment="1">
      <alignment vertical="center"/>
    </xf>
    <xf numFmtId="10" fontId="33" fillId="0" borderId="133" xfId="1" applyNumberFormat="1" applyFont="1" applyFill="1" applyBorder="1" applyAlignment="1">
      <alignment vertical="center"/>
    </xf>
    <xf numFmtId="10" fontId="33" fillId="0" borderId="134" xfId="1" applyNumberFormat="1" applyFont="1" applyFill="1" applyBorder="1" applyAlignment="1">
      <alignment vertical="center"/>
    </xf>
    <xf numFmtId="10" fontId="33" fillId="0" borderId="135" xfId="1" applyNumberFormat="1" applyFont="1" applyFill="1" applyBorder="1" applyAlignment="1">
      <alignment vertical="center"/>
    </xf>
    <xf numFmtId="10" fontId="33" fillId="0" borderId="136" xfId="1" applyNumberFormat="1" applyFont="1" applyFill="1" applyBorder="1" applyAlignment="1">
      <alignment vertical="center"/>
    </xf>
    <xf numFmtId="10" fontId="33" fillId="0" borderId="137" xfId="1" applyNumberFormat="1" applyFont="1" applyFill="1" applyBorder="1" applyAlignment="1">
      <alignment vertical="center"/>
    </xf>
    <xf numFmtId="10" fontId="33" fillId="0" borderId="138" xfId="1" applyNumberFormat="1" applyFont="1" applyFill="1" applyBorder="1" applyAlignment="1">
      <alignment vertical="center"/>
    </xf>
    <xf numFmtId="10" fontId="33" fillId="0" borderId="139" xfId="1" applyNumberFormat="1" applyFont="1" applyFill="1" applyBorder="1" applyAlignment="1">
      <alignment vertical="center"/>
    </xf>
    <xf numFmtId="10" fontId="33" fillId="0" borderId="140" xfId="1" applyNumberFormat="1" applyFont="1" applyFill="1" applyBorder="1" applyAlignment="1">
      <alignment vertical="center"/>
    </xf>
    <xf numFmtId="10" fontId="33" fillId="0" borderId="141" xfId="1" applyNumberFormat="1" applyFont="1" applyFill="1" applyBorder="1" applyAlignment="1">
      <alignment vertical="center"/>
    </xf>
    <xf numFmtId="0" fontId="1" fillId="2" borderId="149" xfId="0" applyNumberFormat="1" applyFont="1" applyFill="1" applyBorder="1" applyAlignment="1">
      <alignment horizontal="center" vertical="center"/>
    </xf>
    <xf numFmtId="0" fontId="18" fillId="6" borderId="149" xfId="0" applyNumberFormat="1" applyFont="1" applyFill="1" applyBorder="1" applyAlignment="1">
      <alignment horizontal="center" vertical="center"/>
    </xf>
    <xf numFmtId="0" fontId="25" fillId="6" borderId="149" xfId="0" applyFont="1" applyFill="1" applyBorder="1" applyAlignment="1">
      <alignment horizontal="center" vertical="center"/>
    </xf>
    <xf numFmtId="0" fontId="25" fillId="6" borderId="150" xfId="0" applyFont="1" applyFill="1" applyBorder="1" applyAlignment="1">
      <alignment horizontal="center" vertical="center"/>
    </xf>
    <xf numFmtId="3" fontId="23" fillId="6" borderId="89" xfId="0" applyNumberFormat="1" applyFont="1" applyFill="1" applyBorder="1" applyAlignment="1">
      <alignment vertical="center"/>
    </xf>
    <xf numFmtId="3" fontId="23" fillId="6" borderId="89" xfId="0" applyNumberFormat="1" applyFont="1" applyFill="1" applyBorder="1" applyAlignment="1" applyProtection="1">
      <alignment vertical="center"/>
    </xf>
    <xf numFmtId="10" fontId="23" fillId="6" borderId="89" xfId="1" applyNumberFormat="1" applyFont="1" applyFill="1" applyBorder="1" applyAlignment="1">
      <alignment vertical="center"/>
    </xf>
    <xf numFmtId="10" fontId="23" fillId="6" borderId="88" xfId="1" applyNumberFormat="1" applyFont="1" applyFill="1" applyBorder="1" applyAlignment="1">
      <alignment vertical="center"/>
    </xf>
    <xf numFmtId="3" fontId="10" fillId="0" borderId="134" xfId="0" applyNumberFormat="1" applyFont="1" applyFill="1" applyBorder="1" applyAlignment="1" applyProtection="1">
      <alignment vertical="center"/>
      <protection locked="0"/>
    </xf>
    <xf numFmtId="10" fontId="24" fillId="0" borderId="151" xfId="1" applyNumberFormat="1" applyFont="1" applyBorder="1" applyAlignment="1">
      <alignment vertical="center"/>
    </xf>
    <xf numFmtId="3" fontId="10" fillId="0" borderId="137" xfId="0" applyNumberFormat="1" applyFont="1" applyFill="1" applyBorder="1" applyAlignment="1" applyProtection="1">
      <alignment vertical="center"/>
      <protection locked="0"/>
    </xf>
    <xf numFmtId="10" fontId="24" fillId="0" borderId="152" xfId="1" applyNumberFormat="1" applyFont="1" applyFill="1" applyBorder="1" applyAlignment="1">
      <alignment vertical="center"/>
    </xf>
    <xf numFmtId="3" fontId="10" fillId="0" borderId="140" xfId="0" applyNumberFormat="1" applyFont="1" applyFill="1" applyBorder="1" applyAlignment="1" applyProtection="1">
      <alignment vertical="center"/>
      <protection locked="0"/>
    </xf>
    <xf numFmtId="10" fontId="24" fillId="0" borderId="153" xfId="1" applyNumberFormat="1" applyFont="1" applyFill="1" applyBorder="1" applyAlignment="1">
      <alignment vertical="center"/>
    </xf>
    <xf numFmtId="0" fontId="22" fillId="0" borderId="154" xfId="0" applyNumberFormat="1" applyFont="1" applyFill="1" applyBorder="1" applyAlignment="1"/>
    <xf numFmtId="0" fontId="22" fillId="0" borderId="155" xfId="0" applyNumberFormat="1" applyFont="1" applyFill="1" applyBorder="1" applyAlignment="1"/>
    <xf numFmtId="0" fontId="22" fillId="0" borderId="156" xfId="0" applyNumberFormat="1" applyFont="1" applyFill="1" applyBorder="1" applyAlignment="1"/>
    <xf numFmtId="3" fontId="10" fillId="0" borderId="157" xfId="0" applyNumberFormat="1" applyFont="1" applyFill="1" applyBorder="1" applyAlignment="1" applyProtection="1">
      <alignment vertical="center"/>
      <protection locked="0"/>
    </xf>
    <xf numFmtId="3" fontId="10" fillId="0" borderId="158" xfId="0" applyNumberFormat="1" applyFont="1" applyFill="1" applyBorder="1" applyAlignment="1" applyProtection="1">
      <alignment vertical="center"/>
      <protection locked="0"/>
    </xf>
    <xf numFmtId="3" fontId="10" fillId="0" borderId="159" xfId="0" applyNumberFormat="1" applyFont="1" applyFill="1" applyBorder="1" applyAlignment="1" applyProtection="1">
      <alignment vertical="center"/>
      <protection locked="0"/>
    </xf>
    <xf numFmtId="0" fontId="22" fillId="0" borderId="107" xfId="0" applyNumberFormat="1" applyFont="1" applyFill="1" applyBorder="1" applyAlignment="1">
      <alignment vertical="center"/>
    </xf>
    <xf numFmtId="0" fontId="22" fillId="0" borderId="108" xfId="0" applyNumberFormat="1" applyFont="1" applyFill="1" applyBorder="1" applyAlignment="1">
      <alignment vertical="center"/>
    </xf>
    <xf numFmtId="0" fontId="22" fillId="0" borderId="109" xfId="0" applyNumberFormat="1" applyFont="1" applyFill="1" applyBorder="1" applyAlignment="1">
      <alignment vertical="center"/>
    </xf>
    <xf numFmtId="3" fontId="2" fillId="0" borderId="160" xfId="0" applyNumberFormat="1" applyFont="1" applyFill="1" applyBorder="1" applyAlignment="1" applyProtection="1">
      <alignment vertical="center"/>
    </xf>
    <xf numFmtId="3" fontId="2" fillId="0" borderId="161" xfId="0" applyNumberFormat="1" applyFont="1" applyFill="1" applyBorder="1" applyAlignment="1" applyProtection="1">
      <alignment vertical="center"/>
    </xf>
    <xf numFmtId="3" fontId="2" fillId="0" borderId="162" xfId="0" applyNumberFormat="1" applyFont="1" applyFill="1" applyBorder="1" applyAlignment="1" applyProtection="1">
      <alignment vertical="center"/>
    </xf>
    <xf numFmtId="3" fontId="10" fillId="0" borderId="133" xfId="0" applyNumberFormat="1" applyFont="1" applyFill="1" applyBorder="1" applyAlignment="1" applyProtection="1">
      <alignment vertical="center"/>
      <protection locked="0"/>
    </xf>
    <xf numFmtId="3" fontId="2" fillId="0" borderId="135" xfId="0" applyNumberFormat="1" applyFont="1" applyFill="1" applyBorder="1" applyAlignment="1" applyProtection="1">
      <alignment vertical="center"/>
    </xf>
    <xf numFmtId="3" fontId="10" fillId="0" borderId="136" xfId="0" applyNumberFormat="1" applyFont="1" applyFill="1" applyBorder="1" applyAlignment="1" applyProtection="1">
      <alignment vertical="center"/>
      <protection locked="0"/>
    </xf>
    <xf numFmtId="3" fontId="2" fillId="0" borderId="138" xfId="0" applyNumberFormat="1" applyFont="1" applyFill="1" applyBorder="1" applyAlignment="1" applyProtection="1">
      <alignment vertical="center"/>
    </xf>
    <xf numFmtId="3" fontId="10" fillId="0" borderId="139" xfId="0" applyNumberFormat="1" applyFont="1" applyFill="1" applyBorder="1" applyAlignment="1" applyProtection="1">
      <alignment vertical="center"/>
      <protection locked="0"/>
    </xf>
    <xf numFmtId="3" fontId="2" fillId="0" borderId="141" xfId="0" applyNumberFormat="1" applyFont="1" applyFill="1" applyBorder="1" applyAlignment="1" applyProtection="1">
      <alignment vertical="center"/>
    </xf>
    <xf numFmtId="3" fontId="10" fillId="0" borderId="160" xfId="0" applyNumberFormat="1" applyFont="1" applyFill="1" applyBorder="1" applyAlignment="1" applyProtection="1">
      <alignment vertical="center"/>
      <protection locked="0"/>
    </xf>
    <xf numFmtId="3" fontId="10" fillId="0" borderId="161" xfId="0" applyNumberFormat="1" applyFont="1" applyFill="1" applyBorder="1" applyAlignment="1" applyProtection="1">
      <alignment vertical="center"/>
      <protection locked="0"/>
    </xf>
    <xf numFmtId="3" fontId="10" fillId="0" borderId="162" xfId="0" applyNumberFormat="1" applyFont="1" applyFill="1" applyBorder="1" applyAlignment="1" applyProtection="1">
      <alignment vertical="center"/>
      <protection locked="0"/>
    </xf>
    <xf numFmtId="10" fontId="24" fillId="0" borderId="157" xfId="1" applyNumberFormat="1" applyFont="1" applyBorder="1" applyAlignment="1">
      <alignment vertical="center"/>
    </xf>
    <xf numFmtId="10" fontId="24" fillId="0" borderId="158" xfId="1" applyNumberFormat="1" applyFont="1" applyBorder="1" applyAlignment="1">
      <alignment vertical="center"/>
    </xf>
    <xf numFmtId="10" fontId="24" fillId="0" borderId="159" xfId="1" applyNumberFormat="1" applyFont="1" applyBorder="1" applyAlignment="1">
      <alignment vertical="center"/>
    </xf>
    <xf numFmtId="3" fontId="24" fillId="0" borderId="133" xfId="0" applyNumberFormat="1" applyFont="1" applyBorder="1" applyAlignment="1">
      <alignment vertical="center"/>
    </xf>
    <xf numFmtId="3" fontId="24" fillId="0" borderId="135" xfId="0" applyNumberFormat="1" applyFont="1" applyBorder="1" applyAlignment="1">
      <alignment vertical="center"/>
    </xf>
    <xf numFmtId="3" fontId="24" fillId="0" borderId="136" xfId="0" applyNumberFormat="1" applyFont="1" applyBorder="1" applyAlignment="1">
      <alignment vertical="center"/>
    </xf>
    <xf numFmtId="3" fontId="24" fillId="0" borderId="138" xfId="0" applyNumberFormat="1" applyFont="1" applyBorder="1" applyAlignment="1">
      <alignment vertical="center"/>
    </xf>
    <xf numFmtId="3" fontId="24" fillId="0" borderId="139" xfId="0" applyNumberFormat="1" applyFont="1" applyBorder="1" applyAlignment="1">
      <alignment vertical="center"/>
    </xf>
    <xf numFmtId="3" fontId="24" fillId="0" borderId="141" xfId="0" applyNumberFormat="1" applyFont="1" applyBorder="1" applyAlignment="1">
      <alignment vertical="center"/>
    </xf>
    <xf numFmtId="0" fontId="11" fillId="6" borderId="166" xfId="0" applyNumberFormat="1" applyFont="1" applyFill="1" applyBorder="1" applyAlignment="1">
      <alignment horizontal="center" vertical="center" wrapText="1"/>
    </xf>
    <xf numFmtId="0" fontId="1" fillId="2" borderId="169" xfId="0" applyNumberFormat="1" applyFont="1" applyFill="1" applyBorder="1" applyAlignment="1">
      <alignment horizontal="center" vertical="center"/>
    </xf>
    <xf numFmtId="0" fontId="1" fillId="2" borderId="170" xfId="0" applyNumberFormat="1" applyFont="1" applyFill="1" applyBorder="1" applyAlignment="1">
      <alignment horizontal="center" vertical="center"/>
    </xf>
    <xf numFmtId="0" fontId="19" fillId="2" borderId="171" xfId="0" applyNumberFormat="1" applyFont="1" applyFill="1" applyBorder="1" applyAlignment="1">
      <alignment horizontal="center" vertical="center"/>
    </xf>
    <xf numFmtId="0" fontId="1" fillId="2" borderId="172" xfId="0" applyNumberFormat="1" applyFont="1" applyFill="1" applyBorder="1" applyAlignment="1">
      <alignment horizontal="center" vertical="center"/>
    </xf>
    <xf numFmtId="0" fontId="1" fillId="2" borderId="173" xfId="0" applyNumberFormat="1" applyFont="1" applyFill="1" applyBorder="1" applyAlignment="1">
      <alignment horizontal="center" vertical="center"/>
    </xf>
    <xf numFmtId="0" fontId="19" fillId="2" borderId="174" xfId="0" applyNumberFormat="1" applyFont="1" applyFill="1" applyBorder="1" applyAlignment="1">
      <alignment horizontal="center" vertical="center"/>
    </xf>
    <xf numFmtId="0" fontId="19" fillId="2" borderId="175" xfId="0" applyNumberFormat="1" applyFont="1" applyFill="1" applyBorder="1" applyAlignment="1">
      <alignment horizontal="center" vertical="center"/>
    </xf>
    <xf numFmtId="0" fontId="1" fillId="2" borderId="176" xfId="0" applyNumberFormat="1" applyFont="1" applyFill="1" applyBorder="1" applyAlignment="1">
      <alignment horizontal="center" vertical="center"/>
    </xf>
    <xf numFmtId="3" fontId="12" fillId="6" borderId="89" xfId="0" applyNumberFormat="1" applyFont="1" applyFill="1" applyBorder="1" applyAlignment="1">
      <alignment horizontal="center"/>
    </xf>
    <xf numFmtId="10" fontId="12" fillId="6" borderId="89" xfId="0" applyNumberFormat="1" applyFont="1" applyFill="1" applyBorder="1" applyAlignment="1">
      <alignment horizontal="center"/>
    </xf>
    <xf numFmtId="3" fontId="10" fillId="0" borderId="134" xfId="0" applyNumberFormat="1" applyFont="1" applyFill="1" applyBorder="1" applyAlignment="1" applyProtection="1">
      <protection locked="0"/>
    </xf>
    <xf numFmtId="3" fontId="24" fillId="0" borderId="134" xfId="0" applyNumberFormat="1" applyFont="1" applyBorder="1"/>
    <xf numFmtId="10" fontId="24" fillId="0" borderId="134" xfId="1" applyNumberFormat="1" applyFont="1" applyBorder="1"/>
    <xf numFmtId="10" fontId="24" fillId="0" borderId="151" xfId="1" applyNumberFormat="1" applyFont="1" applyBorder="1"/>
    <xf numFmtId="3" fontId="10" fillId="0" borderId="137" xfId="0" applyNumberFormat="1" applyFont="1" applyFill="1" applyBorder="1" applyAlignment="1" applyProtection="1">
      <protection locked="0"/>
    </xf>
    <xf numFmtId="3" fontId="24" fillId="0" borderId="137" xfId="0" applyNumberFormat="1" applyFont="1" applyBorder="1"/>
    <xf numFmtId="10" fontId="24" fillId="0" borderId="137" xfId="1" applyNumberFormat="1" applyFont="1" applyBorder="1"/>
    <xf numFmtId="10" fontId="24" fillId="0" borderId="152" xfId="1" applyNumberFormat="1" applyFont="1" applyBorder="1"/>
    <xf numFmtId="3" fontId="10" fillId="0" borderId="140" xfId="0" applyNumberFormat="1" applyFont="1" applyFill="1" applyBorder="1" applyAlignment="1" applyProtection="1">
      <protection locked="0"/>
    </xf>
    <xf numFmtId="3" fontId="24" fillId="0" borderId="140" xfId="0" applyNumberFormat="1" applyFont="1" applyBorder="1"/>
    <xf numFmtId="10" fontId="24" fillId="0" borderId="140" xfId="1" applyNumberFormat="1" applyFont="1" applyBorder="1"/>
    <xf numFmtId="10" fontId="24" fillId="0" borderId="153" xfId="1" applyNumberFormat="1" applyFont="1" applyBorder="1"/>
    <xf numFmtId="3" fontId="10" fillId="0" borderId="157" xfId="0" applyNumberFormat="1" applyFont="1" applyFill="1" applyBorder="1" applyAlignment="1" applyProtection="1">
      <protection locked="0"/>
    </xf>
    <xf numFmtId="3" fontId="10" fillId="0" borderId="158" xfId="0" applyNumberFormat="1" applyFont="1" applyFill="1" applyBorder="1" applyAlignment="1" applyProtection="1">
      <protection locked="0"/>
    </xf>
    <xf numFmtId="3" fontId="10" fillId="0" borderId="159" xfId="0" applyNumberFormat="1" applyFont="1" applyFill="1" applyBorder="1" applyAlignment="1" applyProtection="1">
      <protection locked="0"/>
    </xf>
    <xf numFmtId="3" fontId="10" fillId="0" borderId="160" xfId="0" applyNumberFormat="1" applyFont="1" applyFill="1" applyBorder="1" applyAlignment="1" applyProtection="1">
      <protection locked="0"/>
    </xf>
    <xf numFmtId="3" fontId="10" fillId="0" borderId="161" xfId="0" applyNumberFormat="1" applyFont="1" applyFill="1" applyBorder="1" applyAlignment="1" applyProtection="1">
      <protection locked="0"/>
    </xf>
    <xf numFmtId="3" fontId="10" fillId="0" borderId="162" xfId="0" applyNumberFormat="1" applyFont="1" applyFill="1" applyBorder="1" applyAlignment="1" applyProtection="1">
      <protection locked="0"/>
    </xf>
    <xf numFmtId="3" fontId="24" fillId="0" borderId="157" xfId="0" applyNumberFormat="1" applyFont="1" applyBorder="1"/>
    <xf numFmtId="3" fontId="24" fillId="0" borderId="158" xfId="0" applyNumberFormat="1" applyFont="1" applyBorder="1"/>
    <xf numFmtId="3" fontId="24" fillId="0" borderId="159" xfId="0" applyNumberFormat="1" applyFont="1" applyBorder="1"/>
    <xf numFmtId="3" fontId="10" fillId="0" borderId="133" xfId="0" applyNumberFormat="1" applyFont="1" applyFill="1" applyBorder="1" applyAlignment="1" applyProtection="1">
      <protection locked="0"/>
    </xf>
    <xf numFmtId="3" fontId="10" fillId="0" borderId="135" xfId="0" applyNumberFormat="1" applyFont="1" applyFill="1" applyBorder="1" applyAlignment="1" applyProtection="1">
      <protection locked="0"/>
    </xf>
    <xf numFmtId="3" fontId="10" fillId="0" borderId="136" xfId="0" applyNumberFormat="1" applyFont="1" applyFill="1" applyBorder="1" applyAlignment="1" applyProtection="1">
      <protection locked="0"/>
    </xf>
    <xf numFmtId="3" fontId="10" fillId="0" borderId="138" xfId="0" applyNumberFormat="1" applyFont="1" applyFill="1" applyBorder="1" applyAlignment="1" applyProtection="1">
      <protection locked="0"/>
    </xf>
    <xf numFmtId="3" fontId="10" fillId="0" borderId="139" xfId="0" applyNumberFormat="1" applyFont="1" applyFill="1" applyBorder="1" applyAlignment="1" applyProtection="1">
      <protection locked="0"/>
    </xf>
    <xf numFmtId="3" fontId="10" fillId="0" borderId="141" xfId="0" applyNumberFormat="1" applyFont="1" applyFill="1" applyBorder="1" applyAlignment="1" applyProtection="1">
      <protection locked="0"/>
    </xf>
    <xf numFmtId="3" fontId="24" fillId="0" borderId="160" xfId="0" applyNumberFormat="1" applyFont="1" applyBorder="1"/>
    <xf numFmtId="3" fontId="24" fillId="0" borderId="161" xfId="0" applyNumberFormat="1" applyFont="1" applyBorder="1"/>
    <xf numFmtId="3" fontId="24" fillId="0" borderId="162" xfId="0" applyNumberFormat="1" applyFont="1" applyBorder="1"/>
    <xf numFmtId="10" fontId="24" fillId="0" borderId="133" xfId="1" applyNumberFormat="1" applyFont="1" applyBorder="1"/>
    <xf numFmtId="10" fontId="24" fillId="0" borderId="136" xfId="1" applyNumberFormat="1" applyFont="1" applyBorder="1"/>
    <xf numFmtId="10" fontId="24" fillId="0" borderId="139" xfId="1" applyNumberFormat="1" applyFont="1" applyBorder="1"/>
    <xf numFmtId="0" fontId="28" fillId="11" borderId="35" xfId="0" applyNumberFormat="1" applyFont="1" applyFill="1" applyBorder="1" applyAlignment="1">
      <alignment horizontal="right" vertical="center"/>
    </xf>
    <xf numFmtId="0" fontId="0" fillId="14" borderId="0" xfId="0" applyFill="1"/>
    <xf numFmtId="0" fontId="46" fillId="0" borderId="0" xfId="0" applyFont="1" applyAlignment="1">
      <alignment horizontal="justify" wrapText="1"/>
    </xf>
    <xf numFmtId="0" fontId="51" fillId="0" borderId="42" xfId="0" applyFont="1" applyBorder="1" applyAlignment="1">
      <alignment horizontal="left" indent="1"/>
    </xf>
    <xf numFmtId="0" fontId="51" fillId="0" borderId="18" xfId="0" applyFont="1" applyBorder="1" applyAlignment="1">
      <alignment horizontal="left" indent="1"/>
    </xf>
    <xf numFmtId="0" fontId="51" fillId="0" borderId="17" xfId="0" applyFont="1" applyBorder="1" applyAlignment="1">
      <alignment horizontal="left" indent="1"/>
    </xf>
    <xf numFmtId="0" fontId="50" fillId="0" borderId="0" xfId="0" applyNumberFormat="1" applyFont="1" applyAlignment="1">
      <alignment horizontal="center" vertical="center"/>
    </xf>
    <xf numFmtId="0" fontId="51" fillId="0" borderId="24" xfId="0" applyFont="1" applyBorder="1" applyAlignment="1">
      <alignment horizontal="left" indent="1"/>
    </xf>
    <xf numFmtId="0" fontId="51" fillId="0" borderId="25" xfId="0" applyFont="1" applyBorder="1" applyAlignment="1">
      <alignment horizontal="left" indent="1"/>
    </xf>
    <xf numFmtId="0" fontId="51" fillId="0" borderId="40" xfId="0" applyFont="1" applyBorder="1" applyAlignment="1">
      <alignment horizontal="left" indent="1"/>
    </xf>
    <xf numFmtId="0" fontId="51" fillId="0" borderId="35" xfId="0" applyFont="1" applyBorder="1" applyAlignment="1">
      <alignment horizontal="left" indent="1"/>
    </xf>
    <xf numFmtId="0" fontId="51" fillId="0" borderId="0" xfId="0" applyFont="1" applyBorder="1" applyAlignment="1">
      <alignment horizontal="left" indent="1"/>
    </xf>
    <xf numFmtId="0" fontId="51" fillId="0" borderId="16" xfId="0" applyFont="1" applyBorder="1" applyAlignment="1">
      <alignment horizontal="left" indent="1"/>
    </xf>
    <xf numFmtId="0" fontId="11" fillId="6" borderId="178" xfId="0" applyNumberFormat="1" applyFont="1" applyFill="1" applyBorder="1" applyAlignment="1">
      <alignment horizontal="center" vertical="center"/>
    </xf>
    <xf numFmtId="0" fontId="11" fillId="6" borderId="7" xfId="0" applyNumberFormat="1" applyFont="1" applyFill="1" applyBorder="1" applyAlignment="1">
      <alignment horizontal="center" vertical="center" wrapText="1"/>
    </xf>
    <xf numFmtId="0" fontId="11" fillId="6" borderId="83" xfId="0" applyNumberFormat="1" applyFont="1" applyFill="1" applyBorder="1" applyAlignment="1">
      <alignment horizontal="center" vertical="center" wrapText="1"/>
    </xf>
    <xf numFmtId="0" fontId="11" fillId="6" borderId="84" xfId="0" applyNumberFormat="1" applyFont="1" applyFill="1" applyBorder="1" applyAlignment="1">
      <alignment horizontal="center" vertical="center" wrapText="1"/>
    </xf>
    <xf numFmtId="0" fontId="11" fillId="6" borderId="86" xfId="0" applyNumberFormat="1" applyFont="1" applyFill="1" applyBorder="1" applyAlignment="1">
      <alignment horizontal="center" vertical="center" wrapText="1"/>
    </xf>
    <xf numFmtId="0" fontId="11" fillId="6" borderId="85" xfId="0" applyNumberFormat="1" applyFont="1" applyFill="1" applyBorder="1" applyAlignment="1">
      <alignment horizontal="center" vertical="center" wrapText="1"/>
    </xf>
    <xf numFmtId="0" fontId="11" fillId="6" borderId="87" xfId="0" applyNumberFormat="1" applyFont="1" applyFill="1" applyBorder="1" applyAlignment="1">
      <alignment horizontal="center" vertical="center" wrapText="1"/>
    </xf>
    <xf numFmtId="0" fontId="11" fillId="6" borderId="94" xfId="0" applyNumberFormat="1" applyFont="1" applyFill="1" applyBorder="1" applyAlignment="1">
      <alignment horizontal="center" vertical="center"/>
    </xf>
    <xf numFmtId="0" fontId="11" fillId="6" borderId="95" xfId="0" applyNumberFormat="1" applyFont="1" applyFill="1" applyBorder="1" applyAlignment="1">
      <alignment horizontal="center" vertical="center"/>
    </xf>
    <xf numFmtId="0" fontId="11" fillId="6" borderId="98" xfId="0" applyNumberFormat="1" applyFont="1" applyFill="1" applyBorder="1" applyAlignment="1">
      <alignment horizontal="center" vertical="center"/>
    </xf>
    <xf numFmtId="0" fontId="5" fillId="3" borderId="0" xfId="0" applyFont="1" applyFill="1" applyBorder="1" applyAlignment="1">
      <alignment horizontal="center" vertical="center" shrinkToFit="1"/>
    </xf>
    <xf numFmtId="164" fontId="54" fillId="4" borderId="0" xfId="0" applyNumberFormat="1" applyFont="1" applyFill="1" applyBorder="1" applyAlignment="1" applyProtection="1">
      <alignment horizontal="center" vertical="center"/>
      <protection locked="0"/>
    </xf>
    <xf numFmtId="0" fontId="34" fillId="6" borderId="178" xfId="0" applyNumberFormat="1" applyFont="1" applyFill="1" applyBorder="1" applyAlignment="1">
      <alignment horizontal="center" vertical="center"/>
    </xf>
    <xf numFmtId="0" fontId="11" fillId="6" borderId="126" xfId="0" applyNumberFormat="1" applyFont="1" applyFill="1" applyBorder="1" applyAlignment="1">
      <alignment horizontal="center" vertical="center" wrapText="1"/>
    </xf>
    <xf numFmtId="0" fontId="11" fillId="6" borderId="129" xfId="0" applyNumberFormat="1" applyFont="1" applyFill="1" applyBorder="1" applyAlignment="1">
      <alignment horizontal="center" vertical="center" wrapText="1"/>
    </xf>
    <xf numFmtId="0" fontId="11" fillId="6" borderId="127" xfId="0" applyNumberFormat="1" applyFont="1" applyFill="1" applyBorder="1" applyAlignment="1">
      <alignment horizontal="center" vertical="center" wrapText="1"/>
    </xf>
    <xf numFmtId="0" fontId="11" fillId="6" borderId="130" xfId="0" applyNumberFormat="1" applyFont="1" applyFill="1" applyBorder="1" applyAlignment="1">
      <alignment horizontal="center" vertical="center" wrapText="1"/>
    </xf>
    <xf numFmtId="0" fontId="11" fillId="6" borderId="163" xfId="0" applyNumberFormat="1" applyFont="1" applyFill="1" applyBorder="1" applyAlignment="1">
      <alignment horizontal="center" vertical="center"/>
    </xf>
    <xf numFmtId="0" fontId="11" fillId="6" borderId="164" xfId="0" applyNumberFormat="1" applyFont="1" applyFill="1" applyBorder="1" applyAlignment="1">
      <alignment horizontal="center" vertical="center"/>
    </xf>
    <xf numFmtId="0" fontId="11" fillId="6" borderId="164" xfId="0" applyNumberFormat="1" applyFont="1" applyFill="1" applyBorder="1" applyAlignment="1">
      <alignment horizontal="left" vertical="center"/>
    </xf>
    <xf numFmtId="0" fontId="11" fillId="6" borderId="165" xfId="0" applyNumberFormat="1" applyFont="1" applyFill="1" applyBorder="1" applyAlignment="1">
      <alignment horizontal="left" vertical="center"/>
    </xf>
    <xf numFmtId="0" fontId="11" fillId="6" borderId="127" xfId="0" applyNumberFormat="1" applyFont="1" applyFill="1" applyBorder="1" applyAlignment="1">
      <alignment horizontal="center" vertical="center"/>
    </xf>
    <xf numFmtId="0" fontId="11" fillId="6" borderId="128" xfId="0" applyNumberFormat="1" applyFont="1" applyFill="1" applyBorder="1" applyAlignment="1">
      <alignment horizontal="center" vertical="center"/>
    </xf>
    <xf numFmtId="164" fontId="36" fillId="4" borderId="0" xfId="0" applyNumberFormat="1" applyFont="1" applyFill="1" applyBorder="1" applyAlignment="1">
      <alignment horizontal="center" vertical="center"/>
    </xf>
    <xf numFmtId="0" fontId="35" fillId="3" borderId="0" xfId="0" applyFont="1" applyFill="1" applyBorder="1" applyAlignment="1">
      <alignment horizontal="center" vertical="center" shrinkToFit="1"/>
    </xf>
    <xf numFmtId="0" fontId="11" fillId="6" borderId="179" xfId="0" applyNumberFormat="1" applyFont="1" applyFill="1" applyBorder="1" applyAlignment="1">
      <alignment horizontal="center" vertical="center"/>
    </xf>
    <xf numFmtId="0" fontId="11" fillId="6" borderId="180" xfId="0" applyNumberFormat="1" applyFont="1" applyFill="1" applyBorder="1" applyAlignment="1">
      <alignment horizontal="center" vertical="center"/>
    </xf>
    <xf numFmtId="0" fontId="11" fillId="6" borderId="181" xfId="0" applyNumberFormat="1" applyFont="1" applyFill="1" applyBorder="1" applyAlignment="1">
      <alignment horizontal="center" vertical="center"/>
    </xf>
    <xf numFmtId="0" fontId="11" fillId="6" borderId="142" xfId="0" applyNumberFormat="1" applyFont="1" applyFill="1" applyBorder="1" applyAlignment="1">
      <alignment horizontal="center" vertical="center" wrapText="1"/>
    </xf>
    <xf numFmtId="0" fontId="11" fillId="6" borderId="145" xfId="0" applyNumberFormat="1" applyFont="1" applyFill="1" applyBorder="1" applyAlignment="1">
      <alignment horizontal="center" vertical="center" wrapText="1"/>
    </xf>
    <xf numFmtId="0" fontId="11" fillId="6" borderId="148" xfId="0" applyNumberFormat="1" applyFont="1" applyFill="1" applyBorder="1" applyAlignment="1">
      <alignment horizontal="center" vertical="center" wrapText="1"/>
    </xf>
    <xf numFmtId="0" fontId="11" fillId="6" borderId="143" xfId="0" applyNumberFormat="1" applyFont="1" applyFill="1" applyBorder="1" applyAlignment="1">
      <alignment horizontal="center" vertical="center" wrapText="1"/>
    </xf>
    <xf numFmtId="0" fontId="11" fillId="6" borderId="146" xfId="0" applyNumberFormat="1" applyFont="1" applyFill="1" applyBorder="1" applyAlignment="1">
      <alignment horizontal="center" vertical="center" wrapText="1"/>
    </xf>
    <xf numFmtId="0" fontId="11" fillId="6" borderId="149" xfId="0" applyNumberFormat="1" applyFont="1" applyFill="1" applyBorder="1" applyAlignment="1">
      <alignment horizontal="center" vertical="center" wrapText="1"/>
    </xf>
    <xf numFmtId="0" fontId="18" fillId="6" borderId="146" xfId="0" applyNumberFormat="1" applyFont="1" applyFill="1" applyBorder="1" applyAlignment="1">
      <alignment horizontal="center" vertical="center"/>
    </xf>
    <xf numFmtId="164" fontId="55" fillId="4" borderId="0" xfId="0" applyNumberFormat="1" applyFont="1" applyFill="1" applyBorder="1" applyAlignment="1">
      <alignment horizontal="center" vertical="center"/>
    </xf>
    <xf numFmtId="0" fontId="4" fillId="3" borderId="0" xfId="0" applyFont="1" applyFill="1" applyBorder="1" applyAlignment="1">
      <alignment horizontal="center" vertical="center" shrinkToFit="1"/>
    </xf>
    <xf numFmtId="0" fontId="11" fillId="6" borderId="177" xfId="0" applyNumberFormat="1" applyFont="1" applyFill="1" applyBorder="1" applyAlignment="1">
      <alignment horizontal="center" vertical="top"/>
    </xf>
    <xf numFmtId="0" fontId="11" fillId="6" borderId="85" xfId="0" applyNumberFormat="1" applyFont="1" applyFill="1" applyBorder="1" applyAlignment="1">
      <alignment horizontal="center" vertical="center"/>
    </xf>
    <xf numFmtId="0" fontId="11" fillId="6" borderId="166" xfId="0" applyNumberFormat="1" applyFont="1" applyFill="1" applyBorder="1" applyAlignment="1">
      <alignment horizontal="right" vertical="center"/>
    </xf>
    <xf numFmtId="0" fontId="11" fillId="6" borderId="167" xfId="0" applyNumberFormat="1" applyFont="1" applyFill="1" applyBorder="1" applyAlignment="1">
      <alignment horizontal="right" vertical="center"/>
    </xf>
    <xf numFmtId="0" fontId="11" fillId="6" borderId="167" xfId="0" applyNumberFormat="1" applyFont="1" applyFill="1" applyBorder="1" applyAlignment="1">
      <alignment horizontal="left" vertical="center"/>
    </xf>
    <xf numFmtId="0" fontId="11" fillId="6" borderId="168" xfId="0" applyNumberFormat="1" applyFont="1" applyFill="1" applyBorder="1" applyAlignment="1">
      <alignment horizontal="left" vertical="center"/>
    </xf>
    <xf numFmtId="0" fontId="11" fillId="6" borderId="143" xfId="0" applyNumberFormat="1" applyFont="1" applyFill="1" applyBorder="1" applyAlignment="1">
      <alignment horizontal="center" vertical="center"/>
    </xf>
    <xf numFmtId="0" fontId="11" fillId="6" borderId="146" xfId="0" applyNumberFormat="1" applyFont="1" applyFill="1" applyBorder="1" applyAlignment="1">
      <alignment horizontal="center" vertical="center"/>
    </xf>
    <xf numFmtId="0" fontId="11" fillId="6" borderId="144" xfId="0" applyNumberFormat="1" applyFont="1" applyFill="1" applyBorder="1" applyAlignment="1">
      <alignment horizontal="center" vertical="center"/>
    </xf>
    <xf numFmtId="0" fontId="11" fillId="6" borderId="147" xfId="0" applyNumberFormat="1" applyFont="1" applyFill="1" applyBorder="1" applyAlignment="1">
      <alignment horizontal="center" vertical="center"/>
    </xf>
    <xf numFmtId="164" fontId="56" fillId="4" borderId="0" xfId="0" applyNumberFormat="1" applyFont="1" applyFill="1" applyBorder="1" applyAlignment="1">
      <alignment horizontal="center" vertical="center"/>
    </xf>
    <xf numFmtId="0" fontId="11" fillId="6" borderId="167" xfId="0" applyNumberFormat="1" applyFont="1" applyFill="1" applyBorder="1" applyAlignment="1">
      <alignment horizontal="center" vertical="center"/>
    </xf>
    <xf numFmtId="0" fontId="11" fillId="6" borderId="168" xfId="0" applyNumberFormat="1" applyFont="1" applyFill="1" applyBorder="1" applyAlignment="1">
      <alignment horizontal="center" vertical="center"/>
    </xf>
    <xf numFmtId="0" fontId="39" fillId="7" borderId="76" xfId="0" applyFont="1" applyFill="1" applyBorder="1" applyAlignment="1">
      <alignment horizontal="center" vertical="center"/>
    </xf>
    <xf numFmtId="0" fontId="39" fillId="7" borderId="49" xfId="0" applyFont="1" applyFill="1" applyBorder="1" applyAlignment="1">
      <alignment horizontal="center" vertical="center"/>
    </xf>
    <xf numFmtId="0" fontId="39" fillId="7" borderId="77" xfId="0" applyFont="1" applyFill="1" applyBorder="1" applyAlignment="1">
      <alignment horizontal="center" vertical="center"/>
    </xf>
    <xf numFmtId="0" fontId="39" fillId="7" borderId="50" xfId="0" applyFont="1" applyFill="1" applyBorder="1" applyAlignment="1">
      <alignment horizontal="center" vertical="center"/>
    </xf>
    <xf numFmtId="0" fontId="39" fillId="9" borderId="19" xfId="0" applyFont="1" applyFill="1" applyBorder="1" applyAlignment="1">
      <alignment horizontal="center" vertical="center"/>
    </xf>
    <xf numFmtId="0" fontId="39" fillId="9" borderId="21" xfId="0" applyFont="1" applyFill="1" applyBorder="1" applyAlignment="1">
      <alignment horizontal="center" vertical="center"/>
    </xf>
    <xf numFmtId="0" fontId="39" fillId="10" borderId="19" xfId="0" applyFont="1" applyFill="1" applyBorder="1" applyAlignment="1">
      <alignment horizontal="center" vertical="center"/>
    </xf>
    <xf numFmtId="0" fontId="39" fillId="2" borderId="59" xfId="0" applyFont="1" applyFill="1" applyBorder="1" applyAlignment="1">
      <alignment horizontal="center" vertical="center"/>
    </xf>
    <xf numFmtId="0" fontId="39" fillId="2" borderId="19" xfId="0" applyFont="1" applyFill="1" applyBorder="1" applyAlignment="1">
      <alignment horizontal="center" vertical="center"/>
    </xf>
    <xf numFmtId="0" fontId="42" fillId="12" borderId="56" xfId="0" applyFont="1" applyFill="1" applyBorder="1" applyAlignment="1">
      <alignment horizontal="center" vertical="center" wrapText="1"/>
    </xf>
    <xf numFmtId="0" fontId="42" fillId="12" borderId="57" xfId="0" applyFont="1" applyFill="1" applyBorder="1" applyAlignment="1">
      <alignment horizontal="center" vertical="center" wrapText="1"/>
    </xf>
    <xf numFmtId="0" fontId="42" fillId="12" borderId="58" xfId="0" applyFont="1" applyFill="1" applyBorder="1" applyAlignment="1">
      <alignment horizontal="center" vertical="center" wrapText="1"/>
    </xf>
    <xf numFmtId="0" fontId="39" fillId="9" borderId="55" xfId="0" applyFont="1" applyFill="1" applyBorder="1" applyAlignment="1">
      <alignment horizontal="center" vertical="center"/>
    </xf>
    <xf numFmtId="0" fontId="38" fillId="7" borderId="19" xfId="0" applyFont="1" applyFill="1" applyBorder="1" applyAlignment="1">
      <alignment horizontal="center" vertical="center"/>
    </xf>
    <xf numFmtId="0" fontId="42" fillId="12" borderId="56" xfId="0" applyFont="1" applyFill="1" applyBorder="1" applyAlignment="1">
      <alignment horizontal="center" wrapText="1"/>
    </xf>
    <xf numFmtId="0" fontId="42" fillId="12" borderId="57" xfId="0" applyFont="1" applyFill="1" applyBorder="1" applyAlignment="1">
      <alignment horizontal="center" wrapText="1"/>
    </xf>
    <xf numFmtId="0" fontId="42" fillId="12" borderId="58" xfId="0" applyFont="1" applyFill="1" applyBorder="1" applyAlignment="1">
      <alignment horizontal="center" wrapText="1"/>
    </xf>
    <xf numFmtId="0" fontId="42" fillId="12" borderId="19" xfId="0" applyFont="1" applyFill="1" applyBorder="1" applyAlignment="1">
      <alignment horizontal="center" vertical="center" wrapText="1"/>
    </xf>
    <xf numFmtId="0" fontId="42" fillId="12" borderId="20" xfId="0" applyFont="1" applyFill="1" applyBorder="1" applyAlignment="1">
      <alignment horizontal="center" vertical="center" wrapText="1"/>
    </xf>
    <xf numFmtId="0" fontId="38" fillId="7" borderId="20" xfId="0" applyFont="1" applyFill="1" applyBorder="1" applyAlignment="1">
      <alignment horizontal="center" vertical="center"/>
    </xf>
    <xf numFmtId="0" fontId="42" fillId="12" borderId="60" xfId="0" applyFont="1" applyFill="1" applyBorder="1" applyAlignment="1">
      <alignment horizontal="right" vertical="center"/>
    </xf>
    <xf numFmtId="0" fontId="42" fillId="12" borderId="62" xfId="0" applyFont="1" applyFill="1" applyBorder="1" applyAlignment="1">
      <alignment horizontal="right" vertical="center"/>
    </xf>
    <xf numFmtId="3" fontId="29" fillId="11" borderId="61" xfId="0" applyNumberFormat="1" applyFont="1" applyFill="1" applyBorder="1" applyAlignment="1">
      <alignment horizontal="center" vertical="center"/>
    </xf>
    <xf numFmtId="0" fontId="29" fillId="11" borderId="61" xfId="0" applyFont="1" applyFill="1" applyBorder="1" applyAlignment="1">
      <alignment horizontal="center" vertical="center"/>
    </xf>
    <xf numFmtId="10" fontId="29" fillId="11" borderId="61" xfId="0" applyNumberFormat="1" applyFont="1" applyFill="1" applyBorder="1" applyAlignment="1">
      <alignment horizontal="center" vertical="center"/>
    </xf>
    <xf numFmtId="0" fontId="29" fillId="11" borderId="65" xfId="0" applyFont="1" applyFill="1" applyBorder="1" applyAlignment="1">
      <alignment horizontal="center" vertical="center"/>
    </xf>
    <xf numFmtId="0" fontId="42" fillId="12" borderId="71" xfId="0" applyFont="1" applyFill="1" applyBorder="1" applyAlignment="1">
      <alignment horizontal="right" vertical="center"/>
    </xf>
    <xf numFmtId="0" fontId="42" fillId="12" borderId="74" xfId="0" applyFont="1" applyFill="1" applyBorder="1" applyAlignment="1">
      <alignment horizontal="right" vertical="center"/>
    </xf>
    <xf numFmtId="3" fontId="29" fillId="11" borderId="72" xfId="0" applyNumberFormat="1" applyFont="1" applyFill="1" applyBorder="1" applyAlignment="1">
      <alignment horizontal="center" vertical="center"/>
    </xf>
    <xf numFmtId="10" fontId="29" fillId="11" borderId="72" xfId="0" applyNumberFormat="1" applyFont="1" applyFill="1" applyBorder="1" applyAlignment="1">
      <alignment horizontal="center" vertical="center"/>
    </xf>
    <xf numFmtId="10" fontId="29" fillId="11" borderId="73" xfId="0" applyNumberFormat="1" applyFont="1" applyFill="1" applyBorder="1" applyAlignment="1">
      <alignment horizontal="center" vertical="center"/>
    </xf>
    <xf numFmtId="0" fontId="42" fillId="12" borderId="68" xfId="0" applyFont="1" applyFill="1" applyBorder="1" applyAlignment="1">
      <alignment horizontal="right" vertical="center"/>
    </xf>
    <xf numFmtId="0" fontId="42" fillId="12" borderId="75" xfId="0" applyFont="1" applyFill="1" applyBorder="1" applyAlignment="1">
      <alignment horizontal="right" vertical="center"/>
    </xf>
    <xf numFmtId="3" fontId="29" fillId="11" borderId="69" xfId="0" applyNumberFormat="1" applyFont="1" applyFill="1" applyBorder="1" applyAlignment="1">
      <alignment horizontal="center" vertical="center"/>
    </xf>
    <xf numFmtId="10" fontId="29" fillId="11" borderId="69" xfId="0" applyNumberFormat="1" applyFont="1" applyFill="1" applyBorder="1" applyAlignment="1">
      <alignment horizontal="center" vertical="center"/>
    </xf>
    <xf numFmtId="10" fontId="29" fillId="11" borderId="70" xfId="0" applyNumberFormat="1" applyFont="1" applyFill="1" applyBorder="1" applyAlignment="1">
      <alignment horizontal="center" vertical="center"/>
    </xf>
    <xf numFmtId="0" fontId="38" fillId="7" borderId="21" xfId="0" applyFont="1" applyFill="1" applyBorder="1" applyAlignment="1">
      <alignment horizontal="center" vertical="center"/>
    </xf>
    <xf numFmtId="0" fontId="11" fillId="6" borderId="0" xfId="0" applyNumberFormat="1" applyFont="1" applyFill="1" applyBorder="1" applyAlignment="1">
      <alignment horizontal="center" vertical="center" wrapText="1"/>
    </xf>
    <xf numFmtId="0" fontId="38" fillId="7" borderId="50" xfId="0" applyFont="1" applyFill="1" applyBorder="1" applyAlignment="1">
      <alignment horizontal="center" vertical="center"/>
    </xf>
    <xf numFmtId="0" fontId="38" fillId="7" borderId="48" xfId="0" applyFont="1" applyFill="1" applyBorder="1" applyAlignment="1">
      <alignment horizontal="center" vertical="center"/>
    </xf>
    <xf numFmtId="0" fontId="38" fillId="7" borderId="49" xfId="0" applyFont="1" applyFill="1" applyBorder="1" applyAlignment="1">
      <alignment horizontal="center" vertical="center"/>
    </xf>
    <xf numFmtId="0" fontId="38" fillId="7" borderId="26" xfId="0" applyFont="1" applyFill="1" applyBorder="1" applyAlignment="1">
      <alignment horizontal="center" vertical="center"/>
    </xf>
    <xf numFmtId="0" fontId="38" fillId="7" borderId="45" xfId="0" applyFont="1" applyFill="1" applyBorder="1" applyAlignment="1">
      <alignment horizontal="center" vertical="center"/>
    </xf>
    <xf numFmtId="0" fontId="38" fillId="7" borderId="47" xfId="0" applyFont="1" applyFill="1" applyBorder="1" applyAlignment="1">
      <alignment horizontal="center" vertical="center"/>
    </xf>
    <xf numFmtId="0" fontId="39" fillId="7" borderId="19" xfId="0" applyFont="1" applyFill="1" applyBorder="1" applyAlignment="1">
      <alignment horizontal="center" vertical="center" wrapText="1"/>
    </xf>
    <xf numFmtId="0" fontId="39" fillId="7" borderId="4" xfId="0" applyFont="1" applyFill="1" applyBorder="1" applyAlignment="1">
      <alignment horizontal="center" vertical="center"/>
    </xf>
    <xf numFmtId="0" fontId="39" fillId="7" borderId="5" xfId="0" applyFont="1" applyFill="1" applyBorder="1" applyAlignment="1">
      <alignment horizontal="center" vertical="center"/>
    </xf>
    <xf numFmtId="0" fontId="39" fillId="7" borderId="6" xfId="0" applyFont="1" applyFill="1" applyBorder="1" applyAlignment="1">
      <alignment horizontal="center" vertical="center"/>
    </xf>
    <xf numFmtId="0" fontId="39" fillId="7" borderId="15" xfId="0" applyFont="1" applyFill="1" applyBorder="1" applyAlignment="1">
      <alignment horizontal="center" vertical="center"/>
    </xf>
    <xf numFmtId="0" fontId="39" fillId="7" borderId="46" xfId="0" applyFont="1" applyFill="1" applyBorder="1" applyAlignment="1">
      <alignment horizontal="center" vertical="center"/>
    </xf>
    <xf numFmtId="0" fontId="39" fillId="7" borderId="47" xfId="0" applyFont="1" applyFill="1" applyBorder="1" applyAlignment="1">
      <alignment horizontal="center" vertical="center"/>
    </xf>
    <xf numFmtId="0" fontId="38" fillId="7" borderId="79" xfId="0" applyFont="1" applyFill="1" applyBorder="1" applyAlignment="1">
      <alignment horizontal="center" vertical="center"/>
    </xf>
    <xf numFmtId="0" fontId="38" fillId="7" borderId="10" xfId="0" applyFont="1" applyFill="1" applyBorder="1" applyAlignment="1">
      <alignment horizontal="center" vertical="center"/>
    </xf>
    <xf numFmtId="0" fontId="38" fillId="7" borderId="11" xfId="0" applyFont="1" applyFill="1" applyBorder="1" applyAlignment="1">
      <alignment horizontal="center" vertical="center"/>
    </xf>
    <xf numFmtId="3" fontId="43" fillId="11" borderId="80" xfId="0" applyNumberFormat="1" applyFont="1" applyFill="1" applyBorder="1" applyAlignment="1">
      <alignment horizontal="center" vertical="center"/>
    </xf>
    <xf numFmtId="0" fontId="43" fillId="11" borderId="13" xfId="0" applyFont="1" applyFill="1" applyBorder="1" applyAlignment="1">
      <alignment horizontal="center" vertical="center"/>
    </xf>
    <xf numFmtId="10" fontId="43" fillId="11" borderId="13" xfId="0" applyNumberFormat="1" applyFont="1" applyFill="1" applyBorder="1" applyAlignment="1">
      <alignment horizontal="center" vertical="center"/>
    </xf>
    <xf numFmtId="0" fontId="43" fillId="11" borderId="14" xfId="0" applyFont="1" applyFill="1" applyBorder="1" applyAlignment="1">
      <alignment horizontal="center" vertical="center"/>
    </xf>
    <xf numFmtId="10" fontId="30" fillId="11" borderId="21" xfId="0" applyNumberFormat="1" applyFont="1" applyFill="1" applyBorder="1" applyAlignment="1">
      <alignment horizontal="center" vertical="center"/>
    </xf>
    <xf numFmtId="0" fontId="30" fillId="11" borderId="8" xfId="0" applyFont="1" applyFill="1" applyBorder="1" applyAlignment="1">
      <alignment horizontal="center" vertical="center"/>
    </xf>
    <xf numFmtId="3" fontId="30" fillId="11" borderId="21" xfId="0" applyNumberFormat="1" applyFont="1" applyFill="1" applyBorder="1" applyAlignment="1">
      <alignment horizontal="center" vertical="center"/>
    </xf>
    <xf numFmtId="0" fontId="30" fillId="11" borderId="21" xfId="0" applyFont="1" applyFill="1" applyBorder="1" applyAlignment="1">
      <alignment horizontal="center" vertical="center"/>
    </xf>
    <xf numFmtId="0" fontId="42" fillId="12" borderId="51" xfId="0" applyFont="1" applyFill="1" applyBorder="1" applyAlignment="1">
      <alignment horizontal="right" vertical="center"/>
    </xf>
    <xf numFmtId="0" fontId="42" fillId="12" borderId="81" xfId="0" applyFont="1" applyFill="1" applyBorder="1" applyAlignment="1">
      <alignment horizontal="right" vertical="center"/>
    </xf>
    <xf numFmtId="0" fontId="42" fillId="12" borderId="56" xfId="0" applyFont="1" applyFill="1" applyBorder="1" applyAlignment="1">
      <alignment horizontal="center" vertical="center"/>
    </xf>
    <xf numFmtId="0" fontId="42" fillId="12" borderId="57" xfId="0" applyFont="1" applyFill="1" applyBorder="1" applyAlignment="1">
      <alignment horizontal="center" vertical="center"/>
    </xf>
    <xf numFmtId="0" fontId="42" fillId="12" borderId="58" xfId="0" applyFont="1" applyFill="1" applyBorder="1" applyAlignment="1">
      <alignment horizontal="center" vertical="center"/>
    </xf>
    <xf numFmtId="0" fontId="42" fillId="12" borderId="38" xfId="0" applyFont="1" applyFill="1" applyBorder="1" applyAlignment="1">
      <alignment horizontal="center" vertical="center"/>
    </xf>
    <xf numFmtId="0" fontId="39" fillId="10" borderId="56" xfId="0" applyFont="1" applyFill="1" applyBorder="1" applyAlignment="1">
      <alignment horizontal="center" vertical="center"/>
    </xf>
    <xf numFmtId="0" fontId="42" fillId="12" borderId="56" xfId="0" applyFont="1" applyFill="1" applyBorder="1" applyAlignment="1">
      <alignment horizontal="center"/>
    </xf>
    <xf numFmtId="0" fontId="42" fillId="12" borderId="57" xfId="0" applyFont="1" applyFill="1" applyBorder="1" applyAlignment="1">
      <alignment horizontal="center"/>
    </xf>
    <xf numFmtId="0" fontId="42" fillId="12" borderId="58" xfId="0" applyFont="1" applyFill="1" applyBorder="1" applyAlignment="1">
      <alignment horizontal="center"/>
    </xf>
    <xf numFmtId="0" fontId="38" fillId="7" borderId="24" xfId="0" applyFont="1" applyFill="1" applyBorder="1" applyAlignment="1">
      <alignment horizontal="center" vertical="center"/>
    </xf>
    <xf numFmtId="0" fontId="38" fillId="7" borderId="25" xfId="0" applyFont="1" applyFill="1" applyBorder="1" applyAlignment="1">
      <alignment horizontal="center" vertical="center"/>
    </xf>
    <xf numFmtId="0" fontId="38" fillId="7" borderId="42" xfId="0" applyFont="1" applyFill="1" applyBorder="1" applyAlignment="1">
      <alignment horizontal="center" vertical="center"/>
    </xf>
    <xf numFmtId="0" fontId="38" fillId="7" borderId="18" xfId="0" applyFont="1" applyFill="1" applyBorder="1" applyAlignment="1">
      <alignment horizontal="center" vertical="center"/>
    </xf>
    <xf numFmtId="0" fontId="38" fillId="2" borderId="55" xfId="0" applyFont="1" applyFill="1" applyBorder="1" applyAlignment="1">
      <alignment horizontal="center" vertical="center"/>
    </xf>
    <xf numFmtId="0" fontId="38" fillId="2" borderId="78" xfId="0" applyFont="1" applyFill="1" applyBorder="1" applyAlignment="1">
      <alignment horizontal="center" vertical="center"/>
    </xf>
    <xf numFmtId="0" fontId="42" fillId="12" borderId="23" xfId="0" applyFont="1" applyFill="1" applyBorder="1" applyAlignment="1">
      <alignment horizontal="right" vertical="center"/>
    </xf>
    <xf numFmtId="0" fontId="42" fillId="12" borderId="28" xfId="0" applyFont="1" applyFill="1" applyBorder="1" applyAlignment="1">
      <alignment horizontal="right" vertical="center"/>
    </xf>
    <xf numFmtId="0" fontId="38" fillId="7" borderId="9" xfId="0" applyFont="1" applyFill="1" applyBorder="1" applyAlignment="1">
      <alignment horizontal="center" vertical="center"/>
    </xf>
    <xf numFmtId="0" fontId="38" fillId="7" borderId="32" xfId="0" applyFont="1" applyFill="1" applyBorder="1" applyAlignment="1">
      <alignment horizontal="center" vertical="center"/>
    </xf>
    <xf numFmtId="0" fontId="38" fillId="7" borderId="22" xfId="0" applyFont="1" applyFill="1" applyBorder="1" applyAlignment="1">
      <alignment horizontal="center" vertical="center"/>
    </xf>
    <xf numFmtId="0" fontId="38" fillId="7" borderId="1" xfId="0" applyFont="1" applyFill="1" applyBorder="1" applyAlignment="1">
      <alignment horizontal="center" vertical="center"/>
    </xf>
    <xf numFmtId="0" fontId="38" fillId="7" borderId="33" xfId="0" applyFont="1" applyFill="1" applyBorder="1" applyAlignment="1">
      <alignment horizontal="center" vertical="center"/>
    </xf>
    <xf numFmtId="0" fontId="38" fillId="7" borderId="12" xfId="0" applyFont="1" applyFill="1" applyBorder="1" applyAlignment="1">
      <alignment horizontal="center" vertical="center"/>
    </xf>
    <xf numFmtId="0" fontId="38" fillId="7" borderId="13" xfId="0" applyFont="1" applyFill="1" applyBorder="1" applyAlignment="1">
      <alignment horizontal="center" vertical="center"/>
    </xf>
    <xf numFmtId="0" fontId="38" fillId="7" borderId="34" xfId="0" applyFont="1" applyFill="1" applyBorder="1" applyAlignment="1">
      <alignment horizontal="center" vertical="center"/>
    </xf>
    <xf numFmtId="0" fontId="39" fillId="9" borderId="56" xfId="0" applyFont="1" applyFill="1" applyBorder="1" applyAlignment="1">
      <alignment horizontal="center" vertical="center"/>
    </xf>
    <xf numFmtId="0" fontId="39" fillId="2" borderId="56" xfId="0" applyFont="1" applyFill="1" applyBorder="1" applyAlignment="1">
      <alignment horizontal="center" vertical="center"/>
    </xf>
    <xf numFmtId="0" fontId="39" fillId="7" borderId="57" xfId="0" applyFont="1" applyFill="1" applyBorder="1" applyAlignment="1">
      <alignment horizontal="center" vertical="center"/>
    </xf>
    <xf numFmtId="0" fontId="39" fillId="7" borderId="82" xfId="0" applyFont="1" applyFill="1" applyBorder="1" applyAlignment="1">
      <alignment horizontal="center" vertical="center"/>
    </xf>
    <xf numFmtId="3" fontId="29" fillId="11" borderId="51" xfId="0" applyNumberFormat="1" applyFont="1" applyFill="1" applyBorder="1" applyAlignment="1">
      <alignment horizontal="center" vertical="center"/>
    </xf>
    <xf numFmtId="0" fontId="29" fillId="11" borderId="52" xfId="0" applyFont="1" applyFill="1" applyBorder="1" applyAlignment="1">
      <alignment horizontal="center" vertical="center"/>
    </xf>
    <xf numFmtId="10" fontId="29" fillId="11" borderId="30" xfId="0" applyNumberFormat="1" applyFont="1" applyFill="1" applyBorder="1" applyAlignment="1">
      <alignment horizontal="center" vertical="center"/>
    </xf>
    <xf numFmtId="0" fontId="29" fillId="11" borderId="31" xfId="0" applyFont="1" applyFill="1" applyBorder="1" applyAlignment="1">
      <alignment horizontal="center" vertical="center"/>
    </xf>
    <xf numFmtId="10" fontId="29" fillId="11" borderId="23" xfId="0" applyNumberFormat="1" applyFont="1" applyFill="1" applyBorder="1" applyAlignment="1">
      <alignment horizontal="center" vertical="center"/>
    </xf>
    <xf numFmtId="10" fontId="29" fillId="11" borderId="27" xfId="0" applyNumberFormat="1" applyFont="1" applyFill="1" applyBorder="1" applyAlignment="1">
      <alignment horizontal="center" vertical="center"/>
    </xf>
    <xf numFmtId="10" fontId="29" fillId="11" borderId="28" xfId="0" applyNumberFormat="1" applyFont="1" applyFill="1" applyBorder="1" applyAlignment="1">
      <alignment horizontal="center" vertical="center"/>
    </xf>
    <xf numFmtId="10" fontId="29" fillId="11" borderId="29" xfId="0" applyNumberFormat="1" applyFont="1" applyFill="1" applyBorder="1" applyAlignment="1">
      <alignment horizontal="center" vertical="center"/>
    </xf>
    <xf numFmtId="3" fontId="29" fillId="11" borderId="53" xfId="0" applyNumberFormat="1" applyFont="1" applyFill="1" applyBorder="1" applyAlignment="1">
      <alignment horizontal="center" vertical="center"/>
    </xf>
    <xf numFmtId="3" fontId="29" fillId="11" borderId="23" xfId="0" applyNumberFormat="1" applyFont="1" applyFill="1" applyBorder="1" applyAlignment="1">
      <alignment horizontal="center" vertical="center"/>
    </xf>
    <xf numFmtId="3" fontId="29" fillId="11" borderId="54" xfId="0" applyNumberFormat="1" applyFont="1" applyFill="1" applyBorder="1" applyAlignment="1">
      <alignment horizontal="center" vertical="center"/>
    </xf>
    <xf numFmtId="3" fontId="29" fillId="11" borderId="28" xfId="0" applyNumberFormat="1" applyFont="1" applyFill="1" applyBorder="1" applyAlignment="1">
      <alignment horizontal="center" vertical="center"/>
    </xf>
    <xf numFmtId="0" fontId="42" fillId="12" borderId="66" xfId="0" applyFont="1" applyFill="1" applyBorder="1" applyAlignment="1">
      <alignment horizontal="right" vertical="center"/>
    </xf>
    <xf numFmtId="0" fontId="42" fillId="12" borderId="67" xfId="0" applyFont="1" applyFill="1" applyBorder="1" applyAlignment="1">
      <alignment horizontal="right" vertical="center"/>
    </xf>
    <xf numFmtId="3" fontId="30" fillId="11" borderId="60" xfId="0" applyNumberFormat="1" applyFont="1" applyFill="1" applyBorder="1" applyAlignment="1">
      <alignment horizontal="center"/>
    </xf>
    <xf numFmtId="0" fontId="30" fillId="11" borderId="61" xfId="0" applyFont="1" applyFill="1" applyBorder="1" applyAlignment="1">
      <alignment horizontal="center"/>
    </xf>
    <xf numFmtId="10" fontId="30" fillId="11" borderId="61" xfId="1" applyNumberFormat="1" applyFont="1" applyFill="1" applyBorder="1" applyAlignment="1">
      <alignment horizontal="center"/>
    </xf>
    <xf numFmtId="10" fontId="30" fillId="11" borderId="65" xfId="1" applyNumberFormat="1" applyFont="1" applyFill="1" applyBorder="1" applyAlignment="1">
      <alignment horizontal="center"/>
    </xf>
    <xf numFmtId="3" fontId="29" fillId="11" borderId="68" xfId="0" applyNumberFormat="1" applyFont="1" applyFill="1" applyBorder="1" applyAlignment="1">
      <alignment horizontal="center" vertical="center"/>
    </xf>
    <xf numFmtId="0" fontId="42" fillId="12" borderId="63" xfId="0" applyFont="1" applyFill="1" applyBorder="1" applyAlignment="1">
      <alignment horizontal="right" vertical="center"/>
    </xf>
    <xf numFmtId="0" fontId="42" fillId="12" borderId="64" xfId="0" applyFont="1" applyFill="1" applyBorder="1" applyAlignment="1">
      <alignment horizontal="right" vertical="center"/>
    </xf>
    <xf numFmtId="3" fontId="29" fillId="11" borderId="60" xfId="0" applyNumberFormat="1" applyFont="1" applyFill="1" applyBorder="1" applyAlignment="1">
      <alignment horizontal="center" vertical="center"/>
    </xf>
    <xf numFmtId="0" fontId="42" fillId="12" borderId="61" xfId="0" applyFont="1" applyFill="1" applyBorder="1" applyAlignment="1">
      <alignment horizontal="right" vertical="center"/>
    </xf>
    <xf numFmtId="0" fontId="42" fillId="12" borderId="72" xfId="0" applyFont="1" applyFill="1" applyBorder="1" applyAlignment="1">
      <alignment horizontal="right" vertical="center"/>
    </xf>
    <xf numFmtId="0" fontId="42" fillId="12" borderId="69" xfId="0" applyFont="1" applyFill="1" applyBorder="1" applyAlignment="1">
      <alignment horizontal="right" vertical="center"/>
    </xf>
    <xf numFmtId="0" fontId="38" fillId="7" borderId="36" xfId="0" applyFont="1" applyFill="1" applyBorder="1" applyAlignment="1">
      <alignment horizontal="center" vertical="center"/>
    </xf>
    <xf numFmtId="0" fontId="38" fillId="7" borderId="43" xfId="0" applyFont="1" applyFill="1" applyBorder="1" applyAlignment="1">
      <alignment horizontal="center" vertical="center"/>
    </xf>
    <xf numFmtId="3" fontId="30" fillId="11" borderId="71" xfId="0" applyNumberFormat="1" applyFont="1" applyFill="1" applyBorder="1" applyAlignment="1">
      <alignment horizontal="center"/>
    </xf>
    <xf numFmtId="0" fontId="30" fillId="11" borderId="72" xfId="0" applyFont="1" applyFill="1" applyBorder="1" applyAlignment="1">
      <alignment horizontal="center"/>
    </xf>
    <xf numFmtId="10" fontId="30" fillId="11" borderId="72" xfId="1" applyNumberFormat="1" applyFont="1" applyFill="1" applyBorder="1" applyAlignment="1">
      <alignment horizontal="center"/>
    </xf>
    <xf numFmtId="10" fontId="30" fillId="11" borderId="73" xfId="1" applyNumberFormat="1" applyFont="1" applyFill="1" applyBorder="1" applyAlignment="1">
      <alignment horizontal="center"/>
    </xf>
    <xf numFmtId="3" fontId="30" fillId="11" borderId="68" xfId="0" applyNumberFormat="1" applyFont="1" applyFill="1" applyBorder="1" applyAlignment="1">
      <alignment horizontal="center"/>
    </xf>
    <xf numFmtId="0" fontId="30" fillId="11" borderId="69" xfId="0" applyFont="1" applyFill="1" applyBorder="1" applyAlignment="1">
      <alignment horizontal="center"/>
    </xf>
    <xf numFmtId="10" fontId="30" fillId="11" borderId="69" xfId="1" applyNumberFormat="1" applyFont="1" applyFill="1" applyBorder="1" applyAlignment="1">
      <alignment horizontal="center"/>
    </xf>
    <xf numFmtId="10" fontId="30" fillId="11" borderId="70" xfId="1" applyNumberFormat="1" applyFont="1" applyFill="1" applyBorder="1" applyAlignment="1">
      <alignment horizontal="center"/>
    </xf>
    <xf numFmtId="0" fontId="38" fillId="9" borderId="19" xfId="0" applyFont="1" applyFill="1" applyBorder="1" applyAlignment="1">
      <alignment horizontal="center" vertical="center" wrapText="1"/>
    </xf>
    <xf numFmtId="0" fontId="38" fillId="9" borderId="24" xfId="0" applyFont="1" applyFill="1" applyBorder="1" applyAlignment="1">
      <alignment horizontal="center" vertical="center" wrapText="1"/>
    </xf>
    <xf numFmtId="0" fontId="38" fillId="9" borderId="36" xfId="0" applyFont="1" applyFill="1" applyBorder="1" applyAlignment="1">
      <alignment horizontal="center" vertical="center" wrapText="1"/>
    </xf>
    <xf numFmtId="0" fontId="38" fillId="9" borderId="35" xfId="0" applyFont="1" applyFill="1" applyBorder="1" applyAlignment="1">
      <alignment horizontal="center" vertical="center" wrapText="1"/>
    </xf>
    <xf numFmtId="0" fontId="38" fillId="9" borderId="37" xfId="0" applyFont="1" applyFill="1" applyBorder="1" applyAlignment="1">
      <alignment horizontal="center" vertical="center" wrapText="1"/>
    </xf>
    <xf numFmtId="0" fontId="38" fillId="9" borderId="42" xfId="0" applyFont="1" applyFill="1" applyBorder="1" applyAlignment="1">
      <alignment horizontal="center" vertical="center" wrapText="1"/>
    </xf>
    <xf numFmtId="0" fontId="38" fillId="9" borderId="43" xfId="0" applyFont="1" applyFill="1" applyBorder="1" applyAlignment="1">
      <alignment horizontal="center" vertical="center" wrapText="1"/>
    </xf>
  </cellXfs>
  <cellStyles count="3">
    <cellStyle name="Normal" xfId="0" builtinId="0"/>
    <cellStyle name="Normal 2" xfId="2"/>
    <cellStyle name="Porcentual" xfId="1" builtinId="5"/>
  </cellStyles>
  <dxfs count="127">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79998168889431442"/>
        </patternFill>
      </fill>
    </dxf>
    <dxf>
      <font>
        <b/>
        <i val="0"/>
        <color rgb="FFFF0000"/>
      </font>
      <fill>
        <patternFill>
          <bgColor theme="4" tint="0.3999450666829432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79998168889431442"/>
        </patternFill>
      </fill>
    </dxf>
    <dxf>
      <font>
        <b/>
        <i val="0"/>
        <color rgb="FFFF0000"/>
      </font>
      <fill>
        <patternFill>
          <bgColor theme="4" tint="0.3999450666829432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FF0000"/>
      </font>
      <fill>
        <patternFill>
          <bgColor theme="4" tint="0.39994506668294322"/>
        </patternFill>
      </fill>
    </dxf>
    <dxf>
      <font>
        <b/>
        <i val="0"/>
        <color rgb="FFFF0000"/>
      </font>
      <fill>
        <patternFill>
          <bgColor theme="4" tint="0.79998168889431442"/>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00B050"/>
      </font>
      <fill>
        <patternFill>
          <bgColor theme="4" tint="0.79998168889431442"/>
        </patternFill>
      </fill>
    </dxf>
    <dxf>
      <font>
        <b/>
        <i val="0"/>
        <color rgb="FF00B050"/>
      </font>
      <fill>
        <patternFill>
          <bgColor theme="4" tint="0.59996337778862885"/>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00B050"/>
      </font>
      <fill>
        <patternFill>
          <bgColor theme="4" tint="0.39994506668294322"/>
        </patternFill>
      </fill>
    </dxf>
    <dxf>
      <font>
        <b/>
        <i val="0"/>
        <color rgb="FFFF0000"/>
      </font>
      <fill>
        <patternFill>
          <bgColor theme="4" tint="0.59996337778862885"/>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
      <font>
        <b/>
        <i val="0"/>
        <color rgb="FF00B050"/>
      </font>
      <fill>
        <patternFill>
          <bgColor theme="4" tint="0.79998168889431442"/>
        </patternFill>
      </fill>
    </dxf>
    <dxf>
      <font>
        <b/>
        <i val="0"/>
        <color rgb="FFFF0000"/>
      </font>
      <fill>
        <patternFill>
          <bgColor theme="4" tint="0.79998168889431442"/>
        </patternFill>
      </fill>
    </dxf>
    <dxf>
      <font>
        <b/>
        <i val="0"/>
        <color rgb="FF00B050"/>
      </font>
      <fill>
        <patternFill>
          <bgColor theme="4" tint="0.59996337778862885"/>
        </patternFill>
      </fill>
    </dxf>
    <dxf>
      <font>
        <b/>
        <i val="0"/>
        <color rgb="FFFF0000"/>
      </font>
      <fill>
        <patternFill>
          <bgColor theme="4" tint="0.59996337778862885"/>
        </patternFill>
      </fill>
    </dxf>
    <dxf>
      <font>
        <b/>
        <i val="0"/>
        <color rgb="FF00B050"/>
      </font>
      <fill>
        <patternFill>
          <bgColor theme="4" tint="0.39994506668294322"/>
        </patternFill>
      </fill>
    </dxf>
    <dxf>
      <font>
        <b/>
        <i val="0"/>
        <color rgb="FFFF0000"/>
      </font>
      <fill>
        <patternFill>
          <bgColor theme="4" tint="0.39994506668294322"/>
        </patternFill>
      </fill>
    </dxf>
  </dxfs>
  <tableStyles count="0" defaultTableStyle="TableStyleMedium9" defaultPivotStyle="PivotStyleLight16"/>
  <colors>
    <mruColors>
      <color rgb="FFFFFF66"/>
      <color rgb="FF7DF62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432744</xdr:colOff>
      <xdr:row>4</xdr:row>
      <xdr:rowOff>123568</xdr:rowOff>
    </xdr:from>
    <xdr:to>
      <xdr:col>6</xdr:col>
      <xdr:colOff>413694</xdr:colOff>
      <xdr:row>43</xdr:row>
      <xdr:rowOff>142618</xdr:rowOff>
    </xdr:to>
    <xdr:pic>
      <xdr:nvPicPr>
        <xdr:cNvPr id="3" name="2 Imagen"/>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xmlns="" val="0"/>
            </a:ext>
          </a:extLst>
        </a:blip>
        <a:stretch>
          <a:fillRect/>
        </a:stretch>
      </xdr:blipFill>
      <xdr:spPr>
        <a:xfrm>
          <a:off x="432744" y="1198348"/>
          <a:ext cx="4975139" cy="7548949"/>
        </a:xfrm>
        <a:prstGeom prst="rect">
          <a:avLst/>
        </a:prstGeom>
        <a:gradFill>
          <a:gsLst>
            <a:gs pos="0">
              <a:schemeClr val="accent1">
                <a:lumMod val="20000"/>
                <a:lumOff val="80000"/>
              </a:schemeClr>
            </a:gs>
            <a:gs pos="50000">
              <a:schemeClr val="accent1">
                <a:tint val="44500"/>
                <a:satMod val="160000"/>
              </a:schemeClr>
            </a:gs>
            <a:gs pos="100000">
              <a:schemeClr val="accent1">
                <a:tint val="23500"/>
                <a:satMod val="160000"/>
              </a:schemeClr>
            </a:gs>
          </a:gsLst>
          <a:lin ang="5400000" scaled="0"/>
        </a:gradFill>
        <a:ln>
          <a:noFill/>
        </a:ln>
        <a:effectLst>
          <a:outerShdw blurRad="292100" dist="139700" dir="2700000" algn="tl" rotWithShape="0">
            <a:srgbClr val="333333">
              <a:alpha val="65000"/>
            </a:srgbClr>
          </a:outerShdw>
        </a:effectLst>
      </xdr:spPr>
    </xdr:pic>
    <xdr:clientData/>
  </xdr:twoCellAnchor>
  <xdr:twoCellAnchor>
    <xdr:from>
      <xdr:col>1</xdr:col>
      <xdr:colOff>57150</xdr:colOff>
      <xdr:row>11</xdr:row>
      <xdr:rowOff>57149</xdr:rowOff>
    </xdr:from>
    <xdr:to>
      <xdr:col>5</xdr:col>
      <xdr:colOff>466726</xdr:colOff>
      <xdr:row>20</xdr:row>
      <xdr:rowOff>142874</xdr:rowOff>
    </xdr:to>
    <xdr:sp macro="" textlink="">
      <xdr:nvSpPr>
        <xdr:cNvPr id="4" name="3 CuadroTexto"/>
        <xdr:cNvSpPr txBox="1"/>
      </xdr:nvSpPr>
      <xdr:spPr>
        <a:xfrm>
          <a:off x="857250" y="2466974"/>
          <a:ext cx="3609976" cy="1800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es-ES" sz="2000" b="1" baseline="0">
              <a:solidFill>
                <a:schemeClr val="accent1">
                  <a:lumMod val="75000"/>
                </a:schemeClr>
              </a:solidFill>
              <a:effectLst/>
              <a:latin typeface="Rockwell" panose="02060603020205020403" pitchFamily="18" charset="0"/>
              <a:ea typeface="+mn-ea"/>
              <a:cs typeface="+mn-cs"/>
            </a:rPr>
            <a:t>ANÁLISIS CUANTITATIVO DE EVOLUCIÓN MENSUAL DE PARO REGISTRADO EN LA PROVINCIA DE CÁDIZ</a:t>
          </a:r>
          <a:endParaRPr lang="es-ES" sz="2000">
            <a:solidFill>
              <a:schemeClr val="accent1">
                <a:lumMod val="75000"/>
              </a:schemeClr>
            </a:solidFill>
            <a:effectLst/>
            <a:latin typeface="Rockwell" panose="02060603020205020403" pitchFamily="18" charset="0"/>
          </a:endParaRPr>
        </a:p>
      </xdr:txBody>
    </xdr:sp>
    <xdr:clientData/>
  </xdr:twoCellAnchor>
  <xdr:twoCellAnchor editAs="oneCell">
    <xdr:from>
      <xdr:col>0</xdr:col>
      <xdr:colOff>238125</xdr:colOff>
      <xdr:row>1</xdr:row>
      <xdr:rowOff>38100</xdr:rowOff>
    </xdr:from>
    <xdr:to>
      <xdr:col>2</xdr:col>
      <xdr:colOff>733425</xdr:colOff>
      <xdr:row>1</xdr:row>
      <xdr:rowOff>647700</xdr:rowOff>
    </xdr:to>
    <xdr:pic>
      <xdr:nvPicPr>
        <xdr:cNvPr id="6" name="5 Imagen" descr="Principal.jpg"/>
        <xdr:cNvPicPr>
          <a:picLocks noChangeAspect="1"/>
        </xdr:cNvPicPr>
      </xdr:nvPicPr>
      <xdr:blipFill>
        <a:blip xmlns:r="http://schemas.openxmlformats.org/officeDocument/2006/relationships" r:embed="rId2" cstate="print"/>
        <a:srcRect t="8946" r="12572" b="9262"/>
        <a:stretch>
          <a:fillRect/>
        </a:stretch>
      </xdr:blipFill>
      <xdr:spPr>
        <a:xfrm>
          <a:off x="238125" y="180975"/>
          <a:ext cx="2171700" cy="609600"/>
        </a:xfrm>
        <a:prstGeom prst="rect">
          <a:avLst/>
        </a:prstGeom>
      </xdr:spPr>
    </xdr:pic>
    <xdr:clientData/>
  </xdr:twoCellAnchor>
  <xdr:twoCellAnchor editAs="oneCell">
    <xdr:from>
      <xdr:col>0</xdr:col>
      <xdr:colOff>209550</xdr:colOff>
      <xdr:row>48</xdr:row>
      <xdr:rowOff>47625</xdr:rowOff>
    </xdr:from>
    <xdr:to>
      <xdr:col>2</xdr:col>
      <xdr:colOff>704850</xdr:colOff>
      <xdr:row>49</xdr:row>
      <xdr:rowOff>600075</xdr:rowOff>
    </xdr:to>
    <xdr:pic>
      <xdr:nvPicPr>
        <xdr:cNvPr id="7" name="6 Imagen" descr="Principal.jpg"/>
        <xdr:cNvPicPr>
          <a:picLocks noChangeAspect="1"/>
        </xdr:cNvPicPr>
      </xdr:nvPicPr>
      <xdr:blipFill>
        <a:blip xmlns:r="http://schemas.openxmlformats.org/officeDocument/2006/relationships" r:embed="rId2" cstate="print"/>
        <a:srcRect t="8946" r="12572" b="9262"/>
        <a:stretch>
          <a:fillRect/>
        </a:stretch>
      </xdr:blipFill>
      <xdr:spPr>
        <a:xfrm>
          <a:off x="209550" y="9496425"/>
          <a:ext cx="2171700" cy="609600"/>
        </a:xfrm>
        <a:prstGeom prst="rect">
          <a:avLst/>
        </a:prstGeom>
      </xdr:spPr>
    </xdr:pic>
    <xdr:clientData/>
  </xdr:twoCellAnchor>
  <xdr:twoCellAnchor editAs="oneCell">
    <xdr:from>
      <xdr:col>0</xdr:col>
      <xdr:colOff>85725</xdr:colOff>
      <xdr:row>44</xdr:row>
      <xdr:rowOff>114300</xdr:rowOff>
    </xdr:from>
    <xdr:to>
      <xdr:col>6</xdr:col>
      <xdr:colOff>665100</xdr:colOff>
      <xdr:row>45</xdr:row>
      <xdr:rowOff>167005</xdr:rowOff>
    </xdr:to>
    <xdr:pic>
      <xdr:nvPicPr>
        <xdr:cNvPr id="8" name="7 Imagen"/>
        <xdr:cNvPicPr/>
      </xdr:nvPicPr>
      <xdr:blipFill>
        <a:blip xmlns:r="http://schemas.openxmlformats.org/officeDocument/2006/relationships" r:embed="rId3" cstate="print">
          <a:extLst>
            <a:ext uri="{28A0092B-C50C-407E-A947-70E740481C1C}">
              <a14:useLocalDpi xmlns="" xmlns:wpc="http://schemas.microsoft.com/office/word/2010/wordprocessingCanvas" xmlns:cx="http://schemas.microsoft.com/office/drawing/2014/chartex" xmlns:mc="http://schemas.openxmlformats.org/markup-compatibility/2006" xmlns:o="urn:schemas-microsoft-com:office:office"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15="http://schemas.microsoft.com/office/word/2012/wordml"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a14="http://schemas.microsoft.com/office/drawing/2010/main" xmlns:pic="http://schemas.openxmlformats.org/drawingml/2006/picture" xmlns:lc="http://schemas.openxmlformats.org/drawingml/2006/lockedCanvas" val="0"/>
            </a:ext>
          </a:extLst>
        </a:blip>
        <a:stretch>
          <a:fillRect/>
        </a:stretch>
      </xdr:blipFill>
      <xdr:spPr>
        <a:xfrm>
          <a:off x="85725" y="8801100"/>
          <a:ext cx="5580000" cy="2432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3472018</xdr:colOff>
      <xdr:row>1</xdr:row>
      <xdr:rowOff>481714</xdr:rowOff>
    </xdr:to>
    <xdr:pic>
      <xdr:nvPicPr>
        <xdr:cNvPr id="5" name="4 Imagen" descr="Principal.jpg"/>
        <xdr:cNvPicPr>
          <a:picLocks noChangeAspect="1"/>
        </xdr:cNvPicPr>
      </xdr:nvPicPr>
      <xdr:blipFill>
        <a:blip xmlns:r="http://schemas.openxmlformats.org/officeDocument/2006/relationships" r:embed="rId1" cstate="print"/>
        <a:srcRect t="13638" r="22844" b="14274"/>
        <a:stretch>
          <a:fillRect/>
        </a:stretch>
      </xdr:blipFill>
      <xdr:spPr>
        <a:xfrm>
          <a:off x="0" y="0"/>
          <a:ext cx="3472018" cy="97332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77756</xdr:colOff>
      <xdr:row>0</xdr:row>
      <xdr:rowOff>38878</xdr:rowOff>
    </xdr:from>
    <xdr:to>
      <xdr:col>1</xdr:col>
      <xdr:colOff>50794</xdr:colOff>
      <xdr:row>1</xdr:row>
      <xdr:rowOff>448481</xdr:rowOff>
    </xdr:to>
    <xdr:pic>
      <xdr:nvPicPr>
        <xdr:cNvPr id="3" name="2 Imagen" descr="Principal.jpg"/>
        <xdr:cNvPicPr>
          <a:picLocks noChangeAspect="1"/>
        </xdr:cNvPicPr>
      </xdr:nvPicPr>
      <xdr:blipFill>
        <a:blip xmlns:r="http://schemas.openxmlformats.org/officeDocument/2006/relationships" r:embed="rId1" cstate="print"/>
        <a:srcRect t="13638" r="22844" b="14274"/>
        <a:stretch>
          <a:fillRect/>
        </a:stretch>
      </xdr:blipFill>
      <xdr:spPr>
        <a:xfrm>
          <a:off x="77756" y="38878"/>
          <a:ext cx="3472018" cy="97332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3132000</xdr:colOff>
      <xdr:row>1</xdr:row>
      <xdr:rowOff>333375</xdr:rowOff>
    </xdr:to>
    <xdr:pic>
      <xdr:nvPicPr>
        <xdr:cNvPr id="3" name="2 Imagen" descr="Principal.jpg"/>
        <xdr:cNvPicPr>
          <a:picLocks noChangeAspect="1"/>
        </xdr:cNvPicPr>
      </xdr:nvPicPr>
      <xdr:blipFill>
        <a:blip xmlns:r="http://schemas.openxmlformats.org/officeDocument/2006/relationships" r:embed="rId1" cstate="print"/>
        <a:srcRect t="13638" r="22844" b="17301"/>
        <a:stretch>
          <a:fillRect/>
        </a:stretch>
      </xdr:blipFill>
      <xdr:spPr>
        <a:xfrm>
          <a:off x="0" y="0"/>
          <a:ext cx="3132000" cy="838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7</xdr:rowOff>
    </xdr:from>
    <xdr:to>
      <xdr:col>0</xdr:col>
      <xdr:colOff>3024000</xdr:colOff>
      <xdr:row>1</xdr:row>
      <xdr:rowOff>327353</xdr:rowOff>
    </xdr:to>
    <xdr:pic>
      <xdr:nvPicPr>
        <xdr:cNvPr id="3" name="2 Imagen" descr="Principal.jpg"/>
        <xdr:cNvPicPr>
          <a:picLocks noChangeAspect="1"/>
        </xdr:cNvPicPr>
      </xdr:nvPicPr>
      <xdr:blipFill>
        <a:blip xmlns:r="http://schemas.openxmlformats.org/officeDocument/2006/relationships" r:embed="rId1" cstate="print"/>
        <a:srcRect t="13638" r="22844" b="17081"/>
        <a:stretch>
          <a:fillRect/>
        </a:stretch>
      </xdr:blipFill>
      <xdr:spPr>
        <a:xfrm>
          <a:off x="0" y="7"/>
          <a:ext cx="3024000" cy="8091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653007</xdr:colOff>
      <xdr:row>1</xdr:row>
      <xdr:rowOff>62993</xdr:rowOff>
    </xdr:to>
    <xdr:pic>
      <xdr:nvPicPr>
        <xdr:cNvPr id="4" name="3 Imagen" descr="Principal.jpg"/>
        <xdr:cNvPicPr>
          <a:picLocks noChangeAspect="1"/>
        </xdr:cNvPicPr>
      </xdr:nvPicPr>
      <xdr:blipFill>
        <a:blip xmlns:r="http://schemas.openxmlformats.org/officeDocument/2006/relationships" r:embed="rId1" cstate="print"/>
        <a:srcRect t="13638" r="22844" b="14274"/>
        <a:stretch>
          <a:fillRect/>
        </a:stretch>
      </xdr:blipFill>
      <xdr:spPr>
        <a:xfrm>
          <a:off x="0" y="0"/>
          <a:ext cx="3060000" cy="86103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G76"/>
  <sheetViews>
    <sheetView showGridLines="0" view="pageLayout" topLeftCell="A31" zoomScaleNormal="100" workbookViewId="0">
      <selection activeCell="G48" sqref="G48"/>
    </sheetView>
  </sheetViews>
  <sheetFormatPr baseColWidth="10" defaultColWidth="11.42578125" defaultRowHeight="15"/>
  <cols>
    <col min="1" max="1" width="12" customWidth="1"/>
    <col min="6" max="6" width="12.140625" customWidth="1"/>
    <col min="7" max="7" width="12" customWidth="1"/>
  </cols>
  <sheetData>
    <row r="1" spans="1:7" s="1" customFormat="1" ht="11.25" customHeight="1"/>
    <row r="2" spans="1:7" ht="53.25" customHeight="1">
      <c r="E2" s="334" t="str">
        <f>UPPER(TEXT('VAR INTERMENSUAL-INTERANUAL'!I2,"MMMM-AAAA"))</f>
        <v>MARZO-2022</v>
      </c>
      <c r="F2" s="334"/>
      <c r="G2" s="334"/>
    </row>
    <row r="3" spans="1:7" ht="4.5" customHeight="1">
      <c r="A3" s="329"/>
      <c r="B3" s="329"/>
      <c r="C3" s="329"/>
      <c r="D3" s="329"/>
      <c r="E3" s="329"/>
      <c r="F3" s="329"/>
      <c r="G3" s="329"/>
    </row>
    <row r="47" spans="1:7" ht="4.5" customHeight="1">
      <c r="A47" s="23"/>
      <c r="B47" s="23"/>
      <c r="C47" s="23"/>
      <c r="D47" s="23"/>
      <c r="E47" s="23"/>
      <c r="F47" s="23"/>
      <c r="G47" s="23"/>
    </row>
    <row r="48" spans="1:7">
      <c r="D48" s="144"/>
      <c r="E48" s="144"/>
      <c r="F48" s="144"/>
      <c r="G48" s="144"/>
    </row>
    <row r="49" spans="1:7" s="1" customFormat="1" ht="4.5" customHeight="1"/>
    <row r="50" spans="1:7" ht="48.75" customHeight="1">
      <c r="E50" s="334" t="str">
        <f>UPPER(TEXT('VAR INTERMENSUAL-INTERANUAL'!I2,"MMMM-AAAA"))</f>
        <v>MARZO-2022</v>
      </c>
      <c r="F50" s="334"/>
      <c r="G50" s="334"/>
    </row>
    <row r="51" spans="1:7" ht="4.5" customHeight="1">
      <c r="A51" s="84"/>
      <c r="B51" s="84"/>
      <c r="C51" s="84"/>
      <c r="D51" s="84"/>
      <c r="E51" s="84"/>
      <c r="F51" s="84"/>
      <c r="G51" s="84"/>
    </row>
    <row r="52" spans="1:7" ht="6.75" customHeight="1"/>
    <row r="53" spans="1:7" ht="27" customHeight="1">
      <c r="A53" s="153" t="s">
        <v>101</v>
      </c>
    </row>
    <row r="54" spans="1:7">
      <c r="B54" s="152" t="s">
        <v>117</v>
      </c>
      <c r="G54" s="147" t="s">
        <v>102</v>
      </c>
    </row>
    <row r="55" spans="1:7" ht="15" customHeight="1">
      <c r="B55" s="152" t="s">
        <v>108</v>
      </c>
      <c r="C55" s="147"/>
      <c r="D55" s="147"/>
      <c r="E55" s="147"/>
      <c r="F55" s="148"/>
      <c r="G55" s="147" t="s">
        <v>103</v>
      </c>
    </row>
    <row r="56" spans="1:7" ht="15" customHeight="1">
      <c r="B56" s="152" t="s">
        <v>109</v>
      </c>
      <c r="C56" s="147"/>
      <c r="D56" s="147"/>
      <c r="E56" s="147"/>
      <c r="F56" s="148"/>
      <c r="G56" s="147" t="s">
        <v>104</v>
      </c>
    </row>
    <row r="57" spans="1:7" ht="15" customHeight="1">
      <c r="B57" s="152" t="s">
        <v>110</v>
      </c>
      <c r="C57" s="147"/>
      <c r="D57" s="147"/>
      <c r="E57" s="147"/>
      <c r="F57" s="148"/>
      <c r="G57" s="147" t="s">
        <v>105</v>
      </c>
    </row>
    <row r="58" spans="1:7" ht="15" customHeight="1">
      <c r="B58" s="152" t="s">
        <v>111</v>
      </c>
      <c r="C58" s="149"/>
      <c r="D58" s="147"/>
      <c r="E58" s="147"/>
      <c r="F58" s="148"/>
      <c r="G58" s="147" t="s">
        <v>106</v>
      </c>
    </row>
    <row r="59" spans="1:7" ht="15" customHeight="1">
      <c r="B59" s="152" t="s">
        <v>112</v>
      </c>
      <c r="C59" s="149"/>
      <c r="D59" s="147"/>
      <c r="E59" s="147"/>
      <c r="F59" s="148"/>
      <c r="G59" s="147" t="s">
        <v>107</v>
      </c>
    </row>
    <row r="60" spans="1:7" ht="15" customHeight="1">
      <c r="B60" s="152" t="s">
        <v>113</v>
      </c>
      <c r="C60" s="147"/>
      <c r="D60" s="147"/>
      <c r="E60" s="147"/>
      <c r="F60" s="148"/>
      <c r="G60" s="147" t="s">
        <v>118</v>
      </c>
    </row>
    <row r="61" spans="1:7" ht="9" customHeight="1">
      <c r="B61" s="145"/>
      <c r="C61" s="145"/>
      <c r="D61" s="145"/>
      <c r="E61" s="145"/>
      <c r="F61" s="145"/>
      <c r="G61" s="145"/>
    </row>
    <row r="62" spans="1:7" s="12" customFormat="1" ht="26.25" customHeight="1">
      <c r="A62" s="150" t="s">
        <v>97</v>
      </c>
      <c r="B62" s="146"/>
      <c r="C62" s="146"/>
      <c r="D62" s="146"/>
      <c r="E62" s="146"/>
      <c r="F62" s="146"/>
      <c r="G62" s="146"/>
    </row>
    <row r="63" spans="1:7" ht="66.75" customHeight="1">
      <c r="A63" s="330" t="s">
        <v>119</v>
      </c>
      <c r="B63" s="330"/>
      <c r="C63" s="330"/>
      <c r="D63" s="330"/>
      <c r="E63" s="330"/>
      <c r="F63" s="330"/>
      <c r="G63" s="330"/>
    </row>
    <row r="64" spans="1:7" ht="79.5" customHeight="1">
      <c r="A64" s="330" t="s">
        <v>120</v>
      </c>
      <c r="B64" s="330"/>
      <c r="C64" s="330"/>
      <c r="D64" s="330"/>
      <c r="E64" s="330"/>
      <c r="F64" s="330"/>
      <c r="G64" s="330"/>
    </row>
    <row r="65" spans="1:7" ht="54" customHeight="1">
      <c r="A65" s="330" t="s">
        <v>121</v>
      </c>
      <c r="B65" s="330"/>
      <c r="C65" s="330"/>
      <c r="D65" s="330"/>
      <c r="E65" s="330"/>
      <c r="F65" s="330"/>
      <c r="G65" s="330"/>
    </row>
    <row r="66" spans="1:7" ht="54" customHeight="1">
      <c r="A66" s="330" t="s">
        <v>129</v>
      </c>
      <c r="B66" s="330"/>
      <c r="C66" s="330"/>
      <c r="D66" s="330"/>
      <c r="E66" s="330"/>
      <c r="F66" s="330"/>
      <c r="G66" s="330"/>
    </row>
    <row r="67" spans="1:7" ht="67.5" customHeight="1">
      <c r="A67" s="330" t="s">
        <v>123</v>
      </c>
      <c r="B67" s="330"/>
      <c r="C67" s="330"/>
      <c r="D67" s="330"/>
      <c r="E67" s="330"/>
      <c r="F67" s="330"/>
      <c r="G67" s="330"/>
    </row>
    <row r="68" spans="1:7" ht="27.75" customHeight="1">
      <c r="A68" s="330" t="s">
        <v>122</v>
      </c>
      <c r="B68" s="330"/>
      <c r="C68" s="330"/>
      <c r="D68" s="330"/>
      <c r="E68" s="330"/>
      <c r="F68" s="330"/>
      <c r="G68" s="330"/>
    </row>
    <row r="69" spans="1:7" ht="8.25" customHeight="1"/>
    <row r="70" spans="1:7">
      <c r="B70" s="141">
        <v>-4.53</v>
      </c>
      <c r="C70" s="335" t="s">
        <v>94</v>
      </c>
      <c r="D70" s="336"/>
      <c r="E70" s="336"/>
      <c r="F70" s="337"/>
    </row>
    <row r="71" spans="1:7" ht="15" customHeight="1">
      <c r="B71" s="142">
        <v>18.57</v>
      </c>
      <c r="C71" s="338" t="s">
        <v>95</v>
      </c>
      <c r="D71" s="339"/>
      <c r="E71" s="339"/>
      <c r="F71" s="340"/>
      <c r="G71" s="145"/>
    </row>
    <row r="72" spans="1:7" ht="15.75" thickBot="1">
      <c r="A72" s="145"/>
      <c r="B72" s="143">
        <v>-15.3</v>
      </c>
      <c r="C72" s="331" t="s">
        <v>96</v>
      </c>
      <c r="D72" s="332"/>
      <c r="E72" s="332"/>
      <c r="F72" s="333"/>
      <c r="G72" s="145"/>
    </row>
    <row r="73" spans="1:7" ht="8.25" customHeight="1" thickTop="1">
      <c r="A73" s="145"/>
      <c r="B73" s="145"/>
      <c r="C73" s="145"/>
      <c r="D73" s="145"/>
      <c r="E73" s="145"/>
      <c r="F73" s="145"/>
      <c r="G73" s="145"/>
    </row>
    <row r="74" spans="1:7" s="145" customFormat="1" ht="54" customHeight="1">
      <c r="A74" s="330" t="s">
        <v>124</v>
      </c>
      <c r="B74" s="330"/>
      <c r="C74" s="330"/>
      <c r="D74" s="330"/>
      <c r="E74" s="330"/>
      <c r="F74" s="330"/>
      <c r="G74" s="330"/>
    </row>
    <row r="75" spans="1:7" s="145" customFormat="1" ht="54" customHeight="1">
      <c r="A75" s="330" t="s">
        <v>125</v>
      </c>
      <c r="B75" s="330"/>
      <c r="C75" s="330"/>
      <c r="D75" s="330"/>
      <c r="E75" s="330"/>
      <c r="F75" s="330"/>
      <c r="G75" s="330"/>
    </row>
    <row r="76" spans="1:7" ht="4.5" customHeight="1">
      <c r="A76" s="23"/>
      <c r="B76" s="23"/>
      <c r="C76" s="23"/>
      <c r="D76" s="23"/>
      <c r="E76" s="23"/>
      <c r="F76" s="23"/>
      <c r="G76" s="23"/>
    </row>
  </sheetData>
  <sheetProtection password="D3D2" sheet="1" objects="1" scenarios="1"/>
  <mergeCells count="13">
    <mergeCell ref="A74:G74"/>
    <mergeCell ref="A75:G75"/>
    <mergeCell ref="C72:F72"/>
    <mergeCell ref="E2:G2"/>
    <mergeCell ref="E50:G50"/>
    <mergeCell ref="C70:F70"/>
    <mergeCell ref="C71:F71"/>
    <mergeCell ref="A63:G63"/>
    <mergeCell ref="A64:G64"/>
    <mergeCell ref="A65:G65"/>
    <mergeCell ref="A66:G66"/>
    <mergeCell ref="A67:G67"/>
    <mergeCell ref="A68:G68"/>
  </mergeCells>
  <printOptions horizontalCentered="1"/>
  <pageMargins left="0.9055118110236221" right="0.9055118110236221" top="0.74803149606299213" bottom="0.74803149606299213" header="0.31496062992125984" footer="0.31496062992125984"/>
  <pageSetup paperSize="9" orientation="portrait" r:id="rId1"/>
  <headerFooter differentFirst="1">
    <oddFooter>&amp;L&amp;"Rockwell,Normal"&amp;8&amp;K04-011Fuentes: Servicio Público de Empleo Estatal
Informe elaborado por el IEDT. Diputación de Cádiz&amp;R&amp;"Rockwell,Normal"&amp;8 &amp;K04-0202 &amp;K04-012de 8</oddFooter>
    <firstFooter>&amp;L&amp;"Rockwell,Normal"&amp;8&amp;K04-023Fuentes: Servicio Público de Empleo Estatal
Informe elaborado por el IEDT. Diputación de Cádiz&amp;R&amp;"Rockwell,Normal"&amp;8 &amp;K04-0241 de 8</firstFooter>
  </headerFooter>
  <rowBreaks count="1" manualBreakCount="1">
    <brk id="48" max="6" man="1"/>
  </rowBreaks>
  <drawing r:id="rId2"/>
</worksheet>
</file>

<file path=xl/worksheets/sheet2.xml><?xml version="1.0" encoding="utf-8"?>
<worksheet xmlns="http://schemas.openxmlformats.org/spreadsheetml/2006/main" xmlns:r="http://schemas.openxmlformats.org/officeDocument/2006/relationships">
  <sheetPr>
    <pageSetUpPr fitToPage="1"/>
  </sheetPr>
  <dimension ref="A1:N52"/>
  <sheetViews>
    <sheetView showGridLines="0" view="pageLayout" topLeftCell="B34" zoomScale="62" zoomScaleNormal="70" zoomScalePageLayoutView="62" workbookViewId="0">
      <selection activeCell="E8" sqref="E8"/>
    </sheetView>
  </sheetViews>
  <sheetFormatPr baseColWidth="10" defaultRowHeight="15"/>
  <cols>
    <col min="1" max="1" width="13.5703125" hidden="1" customWidth="1"/>
    <col min="2" max="2" width="55.7109375" customWidth="1"/>
    <col min="3" max="3" width="28.7109375" customWidth="1"/>
    <col min="4" max="10" width="27.7109375" customWidth="1"/>
    <col min="11" max="12" width="11.42578125" hidden="1" customWidth="1"/>
  </cols>
  <sheetData>
    <row r="1" spans="1:14" ht="39" customHeight="1">
      <c r="C1" s="341" t="s">
        <v>65</v>
      </c>
      <c r="D1" s="341"/>
      <c r="E1" s="341"/>
      <c r="F1" s="341"/>
      <c r="G1" s="341"/>
      <c r="H1" s="341"/>
      <c r="I1" s="341"/>
      <c r="J1" s="341"/>
    </row>
    <row r="2" spans="1:14" ht="42" customHeight="1" thickBot="1">
      <c r="D2" s="351" t="s">
        <v>84</v>
      </c>
      <c r="E2" s="351"/>
      <c r="F2" s="351"/>
      <c r="G2" s="351"/>
      <c r="H2" s="351"/>
      <c r="I2" s="352">
        <v>44621</v>
      </c>
      <c r="J2" s="352"/>
      <c r="K2" s="5">
        <f>+EDATE(I2,-1)</f>
        <v>44593</v>
      </c>
      <c r="L2" s="5">
        <f>+EDATE(I2,-12)</f>
        <v>44256</v>
      </c>
    </row>
    <row r="3" spans="1:14" ht="57.75" customHeight="1" thickTop="1">
      <c r="A3" s="342" t="s">
        <v>90</v>
      </c>
      <c r="B3" s="344" t="s">
        <v>57</v>
      </c>
      <c r="C3" s="346" t="s">
        <v>53</v>
      </c>
      <c r="D3" s="154" t="s">
        <v>58</v>
      </c>
      <c r="E3" s="156" t="s">
        <v>59</v>
      </c>
      <c r="F3" s="158" t="s">
        <v>60</v>
      </c>
      <c r="G3" s="348" t="s">
        <v>49</v>
      </c>
      <c r="H3" s="349"/>
      <c r="I3" s="348" t="s">
        <v>50</v>
      </c>
      <c r="J3" s="350"/>
    </row>
    <row r="4" spans="1:14" ht="48" customHeight="1" thickBot="1">
      <c r="A4" s="343"/>
      <c r="B4" s="345"/>
      <c r="C4" s="347"/>
      <c r="D4" s="155" t="str">
        <f>UPPER(TEXT(K2,"mmmm aaaa"))</f>
        <v>FEBRERO 2022</v>
      </c>
      <c r="E4" s="157" t="str">
        <f>UPPER(TEXT(I2,"mmmm aaaa"))</f>
        <v>MARZO 2022</v>
      </c>
      <c r="F4" s="159" t="str">
        <f>UPPER(TEXT(L2,"mmmm aaaa"))</f>
        <v>MARZO 2021</v>
      </c>
      <c r="G4" s="160" t="s">
        <v>51</v>
      </c>
      <c r="H4" s="161" t="s">
        <v>52</v>
      </c>
      <c r="I4" s="160" t="s">
        <v>51</v>
      </c>
      <c r="J4" s="162" t="s">
        <v>52</v>
      </c>
    </row>
    <row r="5" spans="1:14" s="1" customFormat="1" ht="26.25" thickTop="1">
      <c r="A5" s="78" t="s">
        <v>91</v>
      </c>
      <c r="B5" s="163" t="s">
        <v>30</v>
      </c>
      <c r="C5" s="168" t="s">
        <v>54</v>
      </c>
      <c r="D5" s="170">
        <v>740</v>
      </c>
      <c r="E5" s="173">
        <v>735</v>
      </c>
      <c r="F5" s="170">
        <v>916</v>
      </c>
      <c r="G5" s="176">
        <f t="shared" ref="G5:G49" si="0">E5-D5</f>
        <v>-5</v>
      </c>
      <c r="H5" s="179">
        <f t="shared" ref="H5:H49" si="1">IFERROR((E5-D5)/D5,0)</f>
        <v>-6.7567567567567571E-3</v>
      </c>
      <c r="I5" s="182">
        <f t="shared" ref="I5:I49" si="2">E5-F5</f>
        <v>-181</v>
      </c>
      <c r="J5" s="165">
        <f t="shared" ref="J5:J49" si="3">IFERROR((E5-F5)/F5,0)</f>
        <v>-0.19759825327510916</v>
      </c>
    </row>
    <row r="6" spans="1:14" s="1" customFormat="1" ht="25.5">
      <c r="A6" s="79" t="s">
        <v>86</v>
      </c>
      <c r="B6" s="164" t="s">
        <v>31</v>
      </c>
      <c r="C6" s="169" t="s">
        <v>54</v>
      </c>
      <c r="D6" s="171">
        <v>383</v>
      </c>
      <c r="E6" s="174">
        <v>381</v>
      </c>
      <c r="F6" s="171">
        <v>492</v>
      </c>
      <c r="G6" s="177">
        <f t="shared" si="0"/>
        <v>-2</v>
      </c>
      <c r="H6" s="180">
        <f t="shared" si="1"/>
        <v>-5.2219321148825066E-3</v>
      </c>
      <c r="I6" s="183">
        <f t="shared" si="2"/>
        <v>-111</v>
      </c>
      <c r="J6" s="166">
        <f t="shared" si="3"/>
        <v>-0.22560975609756098</v>
      </c>
      <c r="N6" s="85"/>
    </row>
    <row r="7" spans="1:14" s="1" customFormat="1" ht="25.5">
      <c r="A7" s="79" t="s">
        <v>86</v>
      </c>
      <c r="B7" s="164" t="s">
        <v>5</v>
      </c>
      <c r="C7" s="169" t="s">
        <v>55</v>
      </c>
      <c r="D7" s="171">
        <v>146</v>
      </c>
      <c r="E7" s="174">
        <v>167</v>
      </c>
      <c r="F7" s="171">
        <v>175</v>
      </c>
      <c r="G7" s="177">
        <f t="shared" si="0"/>
        <v>21</v>
      </c>
      <c r="H7" s="180">
        <f t="shared" si="1"/>
        <v>0.14383561643835616</v>
      </c>
      <c r="I7" s="183">
        <f t="shared" si="2"/>
        <v>-8</v>
      </c>
      <c r="J7" s="166">
        <f t="shared" si="3"/>
        <v>-4.5714285714285714E-2</v>
      </c>
    </row>
    <row r="8" spans="1:14" s="1" customFormat="1" ht="26.25" customHeight="1">
      <c r="A8" s="79" t="s">
        <v>92</v>
      </c>
      <c r="B8" s="164" t="s">
        <v>6</v>
      </c>
      <c r="C8" s="169" t="s">
        <v>56</v>
      </c>
      <c r="D8" s="171">
        <v>15255</v>
      </c>
      <c r="E8" s="174">
        <v>15228</v>
      </c>
      <c r="F8" s="171">
        <v>18068</v>
      </c>
      <c r="G8" s="177">
        <f t="shared" si="0"/>
        <v>-27</v>
      </c>
      <c r="H8" s="180">
        <f t="shared" si="1"/>
        <v>-1.7699115044247787E-3</v>
      </c>
      <c r="I8" s="183">
        <f t="shared" si="2"/>
        <v>-2840</v>
      </c>
      <c r="J8" s="166">
        <f t="shared" si="3"/>
        <v>-0.15718397166260792</v>
      </c>
    </row>
    <row r="9" spans="1:14" s="1" customFormat="1" ht="25.5">
      <c r="A9" s="79" t="s">
        <v>86</v>
      </c>
      <c r="B9" s="164" t="s">
        <v>7</v>
      </c>
      <c r="C9" s="169" t="s">
        <v>54</v>
      </c>
      <c r="D9" s="171">
        <v>507</v>
      </c>
      <c r="E9" s="174">
        <v>526</v>
      </c>
      <c r="F9" s="171">
        <v>604</v>
      </c>
      <c r="G9" s="177">
        <f t="shared" si="0"/>
        <v>19</v>
      </c>
      <c r="H9" s="180">
        <f t="shared" si="1"/>
        <v>3.7475345167652857E-2</v>
      </c>
      <c r="I9" s="183">
        <f t="shared" si="2"/>
        <v>-78</v>
      </c>
      <c r="J9" s="166">
        <f t="shared" si="3"/>
        <v>-0.12913907284768211</v>
      </c>
    </row>
    <row r="10" spans="1:14" s="1" customFormat="1" ht="25.5">
      <c r="A10" s="79" t="s">
        <v>86</v>
      </c>
      <c r="B10" s="164" t="s">
        <v>115</v>
      </c>
      <c r="C10" s="169" t="s">
        <v>56</v>
      </c>
      <c r="D10" s="171">
        <v>4562</v>
      </c>
      <c r="E10" s="174">
        <v>4783</v>
      </c>
      <c r="F10" s="171">
        <v>5237</v>
      </c>
      <c r="G10" s="177">
        <f t="shared" si="0"/>
        <v>221</v>
      </c>
      <c r="H10" s="180">
        <f t="shared" si="1"/>
        <v>4.8443665059184571E-2</v>
      </c>
      <c r="I10" s="183">
        <f t="shared" si="2"/>
        <v>-454</v>
      </c>
      <c r="J10" s="166">
        <f t="shared" si="3"/>
        <v>-8.6690853542104263E-2</v>
      </c>
    </row>
    <row r="11" spans="1:14" s="1" customFormat="1" ht="25.5">
      <c r="A11" s="79" t="s">
        <v>91</v>
      </c>
      <c r="B11" s="164" t="s">
        <v>8</v>
      </c>
      <c r="C11" s="169" t="s">
        <v>56</v>
      </c>
      <c r="D11" s="171">
        <v>4067</v>
      </c>
      <c r="E11" s="174">
        <v>3873</v>
      </c>
      <c r="F11" s="171">
        <v>4606</v>
      </c>
      <c r="G11" s="177">
        <f t="shared" si="0"/>
        <v>-194</v>
      </c>
      <c r="H11" s="180">
        <f t="shared" si="1"/>
        <v>-4.7701008114089012E-2</v>
      </c>
      <c r="I11" s="183">
        <f t="shared" si="2"/>
        <v>-733</v>
      </c>
      <c r="J11" s="166">
        <f t="shared" si="3"/>
        <v>-0.15914025184541902</v>
      </c>
    </row>
    <row r="12" spans="1:14" s="1" customFormat="1" ht="25.5">
      <c r="A12" s="79" t="s">
        <v>92</v>
      </c>
      <c r="B12" s="164" t="s">
        <v>9</v>
      </c>
      <c r="C12" s="169" t="s">
        <v>56</v>
      </c>
      <c r="D12" s="171">
        <v>2680</v>
      </c>
      <c r="E12" s="174">
        <v>2662</v>
      </c>
      <c r="F12" s="171">
        <v>3176</v>
      </c>
      <c r="G12" s="177">
        <f t="shared" si="0"/>
        <v>-18</v>
      </c>
      <c r="H12" s="180">
        <f t="shared" si="1"/>
        <v>-6.7164179104477612E-3</v>
      </c>
      <c r="I12" s="183">
        <f t="shared" si="2"/>
        <v>-514</v>
      </c>
      <c r="J12" s="166">
        <f t="shared" si="3"/>
        <v>-0.16183879093198991</v>
      </c>
    </row>
    <row r="13" spans="1:14" s="1" customFormat="1" ht="25.5">
      <c r="A13" s="79" t="s">
        <v>91</v>
      </c>
      <c r="B13" s="164" t="s">
        <v>10</v>
      </c>
      <c r="C13" s="169" t="s">
        <v>54</v>
      </c>
      <c r="D13" s="171">
        <v>979</v>
      </c>
      <c r="E13" s="174">
        <v>985</v>
      </c>
      <c r="F13" s="171">
        <v>1123</v>
      </c>
      <c r="G13" s="177">
        <f t="shared" si="0"/>
        <v>6</v>
      </c>
      <c r="H13" s="180">
        <f t="shared" si="1"/>
        <v>6.1287027579162408E-3</v>
      </c>
      <c r="I13" s="183">
        <f t="shared" si="2"/>
        <v>-138</v>
      </c>
      <c r="J13" s="166">
        <f t="shared" si="3"/>
        <v>-0.12288512911843277</v>
      </c>
    </row>
    <row r="14" spans="1:14" s="1" customFormat="1" ht="25.5">
      <c r="A14" s="79" t="s">
        <v>86</v>
      </c>
      <c r="B14" s="164" t="s">
        <v>11</v>
      </c>
      <c r="C14" s="169" t="s">
        <v>55</v>
      </c>
      <c r="D14" s="171">
        <v>75</v>
      </c>
      <c r="E14" s="174">
        <v>71</v>
      </c>
      <c r="F14" s="171">
        <v>83</v>
      </c>
      <c r="G14" s="177">
        <f t="shared" si="0"/>
        <v>-4</v>
      </c>
      <c r="H14" s="180">
        <f t="shared" si="1"/>
        <v>-5.3333333333333337E-2</v>
      </c>
      <c r="I14" s="183">
        <f t="shared" si="2"/>
        <v>-12</v>
      </c>
      <c r="J14" s="166">
        <f t="shared" si="3"/>
        <v>-0.14457831325301204</v>
      </c>
    </row>
    <row r="15" spans="1:14" s="1" customFormat="1" ht="25.5">
      <c r="A15" s="79" t="s">
        <v>86</v>
      </c>
      <c r="B15" s="164" t="s">
        <v>12</v>
      </c>
      <c r="C15" s="169" t="s">
        <v>54</v>
      </c>
      <c r="D15" s="171">
        <v>754</v>
      </c>
      <c r="E15" s="174">
        <v>783</v>
      </c>
      <c r="F15" s="171">
        <v>852</v>
      </c>
      <c r="G15" s="177">
        <f t="shared" si="0"/>
        <v>29</v>
      </c>
      <c r="H15" s="180">
        <f t="shared" si="1"/>
        <v>3.8461538461538464E-2</v>
      </c>
      <c r="I15" s="183">
        <f t="shared" si="2"/>
        <v>-69</v>
      </c>
      <c r="J15" s="166">
        <f t="shared" si="3"/>
        <v>-8.098591549295775E-2</v>
      </c>
    </row>
    <row r="16" spans="1:14" s="1" customFormat="1" ht="25.5">
      <c r="A16" s="79" t="s">
        <v>86</v>
      </c>
      <c r="B16" s="164" t="s">
        <v>13</v>
      </c>
      <c r="C16" s="169" t="s">
        <v>55</v>
      </c>
      <c r="D16" s="171">
        <v>215</v>
      </c>
      <c r="E16" s="174">
        <v>214</v>
      </c>
      <c r="F16" s="171">
        <v>257</v>
      </c>
      <c r="G16" s="177">
        <f t="shared" si="0"/>
        <v>-1</v>
      </c>
      <c r="H16" s="180">
        <f t="shared" si="1"/>
        <v>-4.6511627906976744E-3</v>
      </c>
      <c r="I16" s="183">
        <f t="shared" si="2"/>
        <v>-43</v>
      </c>
      <c r="J16" s="166">
        <f t="shared" si="3"/>
        <v>-0.16731517509727625</v>
      </c>
    </row>
    <row r="17" spans="1:10" s="1" customFormat="1" ht="25.5">
      <c r="A17" s="79" t="s">
        <v>87</v>
      </c>
      <c r="B17" s="164" t="s">
        <v>14</v>
      </c>
      <c r="C17" s="169" t="s">
        <v>56</v>
      </c>
      <c r="D17" s="171">
        <v>12415</v>
      </c>
      <c r="E17" s="174">
        <v>12664</v>
      </c>
      <c r="F17" s="171">
        <v>15489</v>
      </c>
      <c r="G17" s="177">
        <f t="shared" si="0"/>
        <v>249</v>
      </c>
      <c r="H17" s="180">
        <f t="shared" si="1"/>
        <v>2.0056383407168747E-2</v>
      </c>
      <c r="I17" s="183">
        <f t="shared" si="2"/>
        <v>-2825</v>
      </c>
      <c r="J17" s="166">
        <f t="shared" si="3"/>
        <v>-0.18238750080702434</v>
      </c>
    </row>
    <row r="18" spans="1:10" s="1" customFormat="1" ht="25.5">
      <c r="A18" s="79" t="s">
        <v>92</v>
      </c>
      <c r="B18" s="164" t="s">
        <v>32</v>
      </c>
      <c r="C18" s="169" t="s">
        <v>55</v>
      </c>
      <c r="D18" s="171">
        <v>333</v>
      </c>
      <c r="E18" s="174">
        <v>320</v>
      </c>
      <c r="F18" s="171">
        <v>411</v>
      </c>
      <c r="G18" s="177">
        <f t="shared" si="0"/>
        <v>-13</v>
      </c>
      <c r="H18" s="180">
        <f t="shared" si="1"/>
        <v>-3.903903903903904E-2</v>
      </c>
      <c r="I18" s="183">
        <f t="shared" si="2"/>
        <v>-91</v>
      </c>
      <c r="J18" s="166">
        <f t="shared" si="3"/>
        <v>-0.22141119221411193</v>
      </c>
    </row>
    <row r="19" spans="1:10" s="1" customFormat="1" ht="25.5">
      <c r="A19" s="79" t="s">
        <v>91</v>
      </c>
      <c r="B19" s="164" t="s">
        <v>33</v>
      </c>
      <c r="C19" s="169" t="s">
        <v>56</v>
      </c>
      <c r="D19" s="171">
        <v>2547</v>
      </c>
      <c r="E19" s="174">
        <v>2454</v>
      </c>
      <c r="F19" s="171">
        <v>2995</v>
      </c>
      <c r="G19" s="177">
        <f t="shared" si="0"/>
        <v>-93</v>
      </c>
      <c r="H19" s="180">
        <f t="shared" si="1"/>
        <v>-3.6513545347467612E-2</v>
      </c>
      <c r="I19" s="183">
        <f t="shared" si="2"/>
        <v>-541</v>
      </c>
      <c r="J19" s="166">
        <f t="shared" si="3"/>
        <v>-0.18063439065108514</v>
      </c>
    </row>
    <row r="20" spans="1:10" s="1" customFormat="1" ht="25.5">
      <c r="A20" s="79" t="s">
        <v>87</v>
      </c>
      <c r="B20" s="164" t="s">
        <v>34</v>
      </c>
      <c r="C20" s="169" t="s">
        <v>56</v>
      </c>
      <c r="D20" s="171">
        <v>11195</v>
      </c>
      <c r="E20" s="174">
        <v>11197</v>
      </c>
      <c r="F20" s="171">
        <v>13302</v>
      </c>
      <c r="G20" s="177">
        <f t="shared" si="0"/>
        <v>2</v>
      </c>
      <c r="H20" s="180">
        <f t="shared" si="1"/>
        <v>1.7865118356409111E-4</v>
      </c>
      <c r="I20" s="183">
        <f t="shared" si="2"/>
        <v>-2105</v>
      </c>
      <c r="J20" s="166">
        <f t="shared" si="3"/>
        <v>-0.15824688016839572</v>
      </c>
    </row>
    <row r="21" spans="1:10" s="1" customFormat="1" ht="25.5">
      <c r="A21" s="79" t="s">
        <v>93</v>
      </c>
      <c r="B21" s="164" t="s">
        <v>15</v>
      </c>
      <c r="C21" s="169" t="s">
        <v>54</v>
      </c>
      <c r="D21" s="171">
        <v>2631</v>
      </c>
      <c r="E21" s="174">
        <v>2612</v>
      </c>
      <c r="F21" s="171">
        <v>3339</v>
      </c>
      <c r="G21" s="177">
        <f t="shared" si="0"/>
        <v>-19</v>
      </c>
      <c r="H21" s="180">
        <f t="shared" si="1"/>
        <v>-7.2215887495248954E-3</v>
      </c>
      <c r="I21" s="183">
        <f t="shared" si="2"/>
        <v>-727</v>
      </c>
      <c r="J21" s="166">
        <f t="shared" si="3"/>
        <v>-0.21772985923929319</v>
      </c>
    </row>
    <row r="22" spans="1:10" s="1" customFormat="1" ht="25.5">
      <c r="A22" s="79" t="s">
        <v>86</v>
      </c>
      <c r="B22" s="164" t="s">
        <v>16</v>
      </c>
      <c r="C22" s="169" t="s">
        <v>55</v>
      </c>
      <c r="D22" s="171">
        <v>363</v>
      </c>
      <c r="E22" s="174">
        <v>407</v>
      </c>
      <c r="F22" s="171">
        <v>375</v>
      </c>
      <c r="G22" s="177">
        <f t="shared" si="0"/>
        <v>44</v>
      </c>
      <c r="H22" s="180">
        <f t="shared" si="1"/>
        <v>0.12121212121212122</v>
      </c>
      <c r="I22" s="183">
        <f t="shared" si="2"/>
        <v>32</v>
      </c>
      <c r="J22" s="166">
        <f t="shared" si="3"/>
        <v>8.533333333333333E-2</v>
      </c>
    </row>
    <row r="23" spans="1:10" s="1" customFormat="1" ht="25.5">
      <c r="A23" s="79" t="s">
        <v>86</v>
      </c>
      <c r="B23" s="164" t="s">
        <v>17</v>
      </c>
      <c r="C23" s="169" t="s">
        <v>55</v>
      </c>
      <c r="D23" s="171">
        <v>176</v>
      </c>
      <c r="E23" s="174">
        <v>174</v>
      </c>
      <c r="F23" s="171">
        <v>186</v>
      </c>
      <c r="G23" s="177">
        <f t="shared" si="0"/>
        <v>-2</v>
      </c>
      <c r="H23" s="180">
        <f t="shared" si="1"/>
        <v>-1.1363636363636364E-2</v>
      </c>
      <c r="I23" s="183">
        <f t="shared" si="2"/>
        <v>-12</v>
      </c>
      <c r="J23" s="166">
        <f t="shared" si="3"/>
        <v>-6.4516129032258063E-2</v>
      </c>
    </row>
    <row r="24" spans="1:10" s="1" customFormat="1" ht="25.5">
      <c r="A24" s="79" t="s">
        <v>86</v>
      </c>
      <c r="B24" s="164" t="s">
        <v>18</v>
      </c>
      <c r="C24" s="169" t="s">
        <v>55</v>
      </c>
      <c r="D24" s="171">
        <v>214</v>
      </c>
      <c r="E24" s="174">
        <v>209</v>
      </c>
      <c r="F24" s="171">
        <v>288</v>
      </c>
      <c r="G24" s="177">
        <f t="shared" si="0"/>
        <v>-5</v>
      </c>
      <c r="H24" s="180">
        <f t="shared" si="1"/>
        <v>-2.336448598130841E-2</v>
      </c>
      <c r="I24" s="183">
        <f t="shared" si="2"/>
        <v>-79</v>
      </c>
      <c r="J24" s="166">
        <f t="shared" si="3"/>
        <v>-0.27430555555555558</v>
      </c>
    </row>
    <row r="25" spans="1:10" s="1" customFormat="1" ht="25.5">
      <c r="A25" s="79" t="s">
        <v>93</v>
      </c>
      <c r="B25" s="164" t="s">
        <v>114</v>
      </c>
      <c r="C25" s="169" t="s">
        <v>56</v>
      </c>
      <c r="D25" s="171">
        <v>28062</v>
      </c>
      <c r="E25" s="174">
        <v>28404</v>
      </c>
      <c r="F25" s="171">
        <v>33012</v>
      </c>
      <c r="G25" s="177">
        <f t="shared" si="0"/>
        <v>342</v>
      </c>
      <c r="H25" s="180">
        <f t="shared" si="1"/>
        <v>1.2187299550994226E-2</v>
      </c>
      <c r="I25" s="183">
        <f t="shared" si="2"/>
        <v>-4608</v>
      </c>
      <c r="J25" s="166">
        <f t="shared" si="3"/>
        <v>-0.1395856052344602</v>
      </c>
    </row>
    <row r="26" spans="1:10" s="1" customFormat="1" ht="25.5">
      <c r="A26" s="79" t="s">
        <v>92</v>
      </c>
      <c r="B26" s="164" t="s">
        <v>127</v>
      </c>
      <c r="C26" s="169" t="s">
        <v>54</v>
      </c>
      <c r="D26" s="171">
        <v>750</v>
      </c>
      <c r="E26" s="174">
        <v>750</v>
      </c>
      <c r="F26" s="171">
        <v>931</v>
      </c>
      <c r="G26" s="177">
        <f t="shared" si="0"/>
        <v>0</v>
      </c>
      <c r="H26" s="180">
        <f t="shared" si="1"/>
        <v>0</v>
      </c>
      <c r="I26" s="183">
        <f t="shared" si="2"/>
        <v>-181</v>
      </c>
      <c r="J26" s="166">
        <f t="shared" si="3"/>
        <v>-0.19441460794844254</v>
      </c>
    </row>
    <row r="27" spans="1:10" s="1" customFormat="1" ht="25.5">
      <c r="A27" s="79" t="s">
        <v>92</v>
      </c>
      <c r="B27" s="164" t="s">
        <v>35</v>
      </c>
      <c r="C27" s="169" t="s">
        <v>56</v>
      </c>
      <c r="D27" s="171">
        <v>9642</v>
      </c>
      <c r="E27" s="174">
        <v>9630</v>
      </c>
      <c r="F27" s="171">
        <v>11612</v>
      </c>
      <c r="G27" s="177">
        <f t="shared" si="0"/>
        <v>-12</v>
      </c>
      <c r="H27" s="180">
        <f t="shared" si="1"/>
        <v>-1.2445550715619166E-3</v>
      </c>
      <c r="I27" s="183">
        <f t="shared" si="2"/>
        <v>-1982</v>
      </c>
      <c r="J27" s="166">
        <f t="shared" si="3"/>
        <v>-0.17068549776093697</v>
      </c>
    </row>
    <row r="28" spans="1:10" s="1" customFormat="1" ht="25.5">
      <c r="A28" s="79" t="s">
        <v>91</v>
      </c>
      <c r="B28" s="164" t="s">
        <v>36</v>
      </c>
      <c r="C28" s="169" t="s">
        <v>54</v>
      </c>
      <c r="D28" s="171">
        <v>1612</v>
      </c>
      <c r="E28" s="174">
        <v>1627</v>
      </c>
      <c r="F28" s="171">
        <v>1818</v>
      </c>
      <c r="G28" s="177">
        <f t="shared" si="0"/>
        <v>15</v>
      </c>
      <c r="H28" s="180">
        <f t="shared" si="1"/>
        <v>9.3052109181141433E-3</v>
      </c>
      <c r="I28" s="183">
        <f t="shared" si="2"/>
        <v>-191</v>
      </c>
      <c r="J28" s="166">
        <f t="shared" si="3"/>
        <v>-0.10506050605060506</v>
      </c>
    </row>
    <row r="29" spans="1:10" s="1" customFormat="1" ht="25.5">
      <c r="A29" s="79" t="s">
        <v>86</v>
      </c>
      <c r="B29" s="164" t="s">
        <v>19</v>
      </c>
      <c r="C29" s="169" t="s">
        <v>54</v>
      </c>
      <c r="D29" s="171">
        <v>617</v>
      </c>
      <c r="E29" s="174">
        <v>635</v>
      </c>
      <c r="F29" s="171">
        <v>700</v>
      </c>
      <c r="G29" s="177">
        <f t="shared" si="0"/>
        <v>18</v>
      </c>
      <c r="H29" s="180">
        <f t="shared" si="1"/>
        <v>2.9173419773095625E-2</v>
      </c>
      <c r="I29" s="183">
        <f t="shared" si="2"/>
        <v>-65</v>
      </c>
      <c r="J29" s="166">
        <f t="shared" si="3"/>
        <v>-9.285714285714286E-2</v>
      </c>
    </row>
    <row r="30" spans="1:10" s="1" customFormat="1" ht="25.5">
      <c r="A30" s="79" t="s">
        <v>91</v>
      </c>
      <c r="B30" s="164" t="s">
        <v>37</v>
      </c>
      <c r="C30" s="169" t="s">
        <v>54</v>
      </c>
      <c r="D30" s="171">
        <v>820</v>
      </c>
      <c r="E30" s="174">
        <v>861</v>
      </c>
      <c r="F30" s="171">
        <v>941</v>
      </c>
      <c r="G30" s="177">
        <f t="shared" si="0"/>
        <v>41</v>
      </c>
      <c r="H30" s="180">
        <f t="shared" si="1"/>
        <v>0.05</v>
      </c>
      <c r="I30" s="183">
        <f t="shared" si="2"/>
        <v>-80</v>
      </c>
      <c r="J30" s="166">
        <f t="shared" si="3"/>
        <v>-8.501594048884166E-2</v>
      </c>
    </row>
    <row r="31" spans="1:10" s="1" customFormat="1" ht="25.5">
      <c r="A31" s="79" t="s">
        <v>86</v>
      </c>
      <c r="B31" s="164" t="s">
        <v>38</v>
      </c>
      <c r="C31" s="169" t="s">
        <v>54</v>
      </c>
      <c r="D31" s="171">
        <v>766</v>
      </c>
      <c r="E31" s="174">
        <v>775</v>
      </c>
      <c r="F31" s="171">
        <v>953</v>
      </c>
      <c r="G31" s="177">
        <f t="shared" si="0"/>
        <v>9</v>
      </c>
      <c r="H31" s="180">
        <f t="shared" si="1"/>
        <v>1.1749347258485639E-2</v>
      </c>
      <c r="I31" s="183">
        <f t="shared" si="2"/>
        <v>-178</v>
      </c>
      <c r="J31" s="166">
        <f t="shared" si="3"/>
        <v>-0.18677859391395593</v>
      </c>
    </row>
    <row r="32" spans="1:10" s="1" customFormat="1" ht="25.5">
      <c r="A32" s="79" t="s">
        <v>87</v>
      </c>
      <c r="B32" s="164" t="s">
        <v>39</v>
      </c>
      <c r="C32" s="169" t="s">
        <v>56</v>
      </c>
      <c r="D32" s="171">
        <v>10314</v>
      </c>
      <c r="E32" s="174">
        <v>10246</v>
      </c>
      <c r="F32" s="171">
        <v>12296</v>
      </c>
      <c r="G32" s="177">
        <f t="shared" si="0"/>
        <v>-68</v>
      </c>
      <c r="H32" s="180">
        <f t="shared" si="1"/>
        <v>-6.5929804149699438E-3</v>
      </c>
      <c r="I32" s="183">
        <f t="shared" si="2"/>
        <v>-2050</v>
      </c>
      <c r="J32" s="166">
        <f t="shared" si="3"/>
        <v>-0.16672088484059858</v>
      </c>
    </row>
    <row r="33" spans="1:10" s="1" customFormat="1" ht="25.5">
      <c r="A33" s="79" t="s">
        <v>87</v>
      </c>
      <c r="B33" s="164" t="s">
        <v>40</v>
      </c>
      <c r="C33" s="169" t="s">
        <v>56</v>
      </c>
      <c r="D33" s="171">
        <v>5172</v>
      </c>
      <c r="E33" s="174">
        <v>5312</v>
      </c>
      <c r="F33" s="171">
        <v>6356</v>
      </c>
      <c r="G33" s="177">
        <f t="shared" si="0"/>
        <v>140</v>
      </c>
      <c r="H33" s="180">
        <f t="shared" si="1"/>
        <v>2.7068832173240527E-2</v>
      </c>
      <c r="I33" s="183">
        <f t="shared" si="2"/>
        <v>-1044</v>
      </c>
      <c r="J33" s="166">
        <f t="shared" si="3"/>
        <v>-0.16425424795468849</v>
      </c>
    </row>
    <row r="34" spans="1:10" s="1" customFormat="1" ht="25.5">
      <c r="A34" s="79" t="s">
        <v>86</v>
      </c>
      <c r="B34" s="164" t="s">
        <v>41</v>
      </c>
      <c r="C34" s="169" t="s">
        <v>54</v>
      </c>
      <c r="D34" s="171">
        <v>542</v>
      </c>
      <c r="E34" s="174">
        <v>544</v>
      </c>
      <c r="F34" s="171">
        <v>566</v>
      </c>
      <c r="G34" s="177">
        <f t="shared" si="0"/>
        <v>2</v>
      </c>
      <c r="H34" s="180">
        <f t="shared" si="1"/>
        <v>3.6900369003690036E-3</v>
      </c>
      <c r="I34" s="183">
        <f t="shared" si="2"/>
        <v>-22</v>
      </c>
      <c r="J34" s="166">
        <f t="shared" si="3"/>
        <v>-3.8869257950530034E-2</v>
      </c>
    </row>
    <row r="35" spans="1:10" s="1" customFormat="1" ht="25.5">
      <c r="A35" s="79" t="s">
        <v>93</v>
      </c>
      <c r="B35" s="164" t="s">
        <v>20</v>
      </c>
      <c r="C35" s="169" t="s">
        <v>56</v>
      </c>
      <c r="D35" s="171">
        <v>3072</v>
      </c>
      <c r="E35" s="174">
        <v>3019</v>
      </c>
      <c r="F35" s="171">
        <v>3746</v>
      </c>
      <c r="G35" s="177">
        <f t="shared" si="0"/>
        <v>-53</v>
      </c>
      <c r="H35" s="180">
        <f t="shared" si="1"/>
        <v>-1.7252604166666668E-2</v>
      </c>
      <c r="I35" s="183">
        <f t="shared" si="2"/>
        <v>-727</v>
      </c>
      <c r="J35" s="166">
        <f t="shared" si="3"/>
        <v>-0.19407367859049654</v>
      </c>
    </row>
    <row r="36" spans="1:10" s="1" customFormat="1" ht="25.5">
      <c r="A36" s="79" t="s">
        <v>87</v>
      </c>
      <c r="B36" s="164" t="s">
        <v>21</v>
      </c>
      <c r="C36" s="169" t="s">
        <v>56</v>
      </c>
      <c r="D36" s="171">
        <v>11265</v>
      </c>
      <c r="E36" s="174">
        <v>11371</v>
      </c>
      <c r="F36" s="171">
        <v>13414</v>
      </c>
      <c r="G36" s="177">
        <f t="shared" si="0"/>
        <v>106</v>
      </c>
      <c r="H36" s="180">
        <f t="shared" si="1"/>
        <v>9.4096759875721258E-3</v>
      </c>
      <c r="I36" s="183">
        <f t="shared" si="2"/>
        <v>-2043</v>
      </c>
      <c r="J36" s="166">
        <f t="shared" si="3"/>
        <v>-0.15230356344118084</v>
      </c>
    </row>
    <row r="37" spans="1:10" s="1" customFormat="1" ht="25.5">
      <c r="A37" s="79" t="s">
        <v>93</v>
      </c>
      <c r="B37" s="164" t="s">
        <v>128</v>
      </c>
      <c r="C37" s="169" t="s">
        <v>56</v>
      </c>
      <c r="D37" s="171">
        <v>8760</v>
      </c>
      <c r="E37" s="174">
        <v>8974</v>
      </c>
      <c r="F37" s="171">
        <v>10555</v>
      </c>
      <c r="G37" s="177">
        <f t="shared" si="0"/>
        <v>214</v>
      </c>
      <c r="H37" s="180">
        <f t="shared" si="1"/>
        <v>2.4429223744292239E-2</v>
      </c>
      <c r="I37" s="183">
        <f t="shared" si="2"/>
        <v>-1581</v>
      </c>
      <c r="J37" s="166">
        <f t="shared" si="3"/>
        <v>-0.14978683088583611</v>
      </c>
    </row>
    <row r="38" spans="1:10" s="1" customFormat="1" ht="25.5">
      <c r="A38" s="79" t="s">
        <v>91</v>
      </c>
      <c r="B38" s="164" t="s">
        <v>42</v>
      </c>
      <c r="C38" s="169" t="s">
        <v>55</v>
      </c>
      <c r="D38" s="171">
        <v>520</v>
      </c>
      <c r="E38" s="174">
        <v>528</v>
      </c>
      <c r="F38" s="171">
        <v>623</v>
      </c>
      <c r="G38" s="177">
        <f t="shared" si="0"/>
        <v>8</v>
      </c>
      <c r="H38" s="180">
        <f t="shared" si="1"/>
        <v>1.5384615384615385E-2</v>
      </c>
      <c r="I38" s="183">
        <f t="shared" si="2"/>
        <v>-95</v>
      </c>
      <c r="J38" s="166">
        <f t="shared" si="3"/>
        <v>-0.15248796147672553</v>
      </c>
    </row>
    <row r="39" spans="1:10" s="1" customFormat="1" ht="25.5">
      <c r="A39" s="79" t="s">
        <v>92</v>
      </c>
      <c r="B39" s="164" t="s">
        <v>126</v>
      </c>
      <c r="C39" s="169" t="s">
        <v>55</v>
      </c>
      <c r="D39" s="171">
        <v>266</v>
      </c>
      <c r="E39" s="174">
        <v>256</v>
      </c>
      <c r="F39" s="171">
        <v>334</v>
      </c>
      <c r="G39" s="177">
        <f t="shared" si="0"/>
        <v>-10</v>
      </c>
      <c r="H39" s="180">
        <f t="shared" si="1"/>
        <v>-3.7593984962406013E-2</v>
      </c>
      <c r="I39" s="183">
        <f t="shared" ref="I39" si="4">E39-F39</f>
        <v>-78</v>
      </c>
      <c r="J39" s="166">
        <f t="shared" ref="J39" si="5">IFERROR((E39-F39)/F39,0)</f>
        <v>-0.23353293413173654</v>
      </c>
    </row>
    <row r="40" spans="1:10" s="1" customFormat="1" ht="25.5">
      <c r="A40" s="79" t="s">
        <v>92</v>
      </c>
      <c r="B40" s="164" t="s">
        <v>22</v>
      </c>
      <c r="C40" s="169" t="s">
        <v>56</v>
      </c>
      <c r="D40" s="171">
        <v>3584</v>
      </c>
      <c r="E40" s="174">
        <v>3592</v>
      </c>
      <c r="F40" s="171">
        <v>4489</v>
      </c>
      <c r="G40" s="177">
        <f t="shared" si="0"/>
        <v>8</v>
      </c>
      <c r="H40" s="180">
        <f t="shared" si="1"/>
        <v>2.232142857142857E-3</v>
      </c>
      <c r="I40" s="183">
        <f t="shared" si="2"/>
        <v>-897</v>
      </c>
      <c r="J40" s="166">
        <f t="shared" si="3"/>
        <v>-0.19982178658944086</v>
      </c>
    </row>
    <row r="41" spans="1:10" s="1" customFormat="1" ht="25.5">
      <c r="A41" s="79" t="s">
        <v>86</v>
      </c>
      <c r="B41" s="164" t="s">
        <v>43</v>
      </c>
      <c r="C41" s="169" t="s">
        <v>55</v>
      </c>
      <c r="D41" s="171">
        <v>209</v>
      </c>
      <c r="E41" s="174">
        <v>208</v>
      </c>
      <c r="F41" s="171">
        <v>252</v>
      </c>
      <c r="G41" s="177">
        <f t="shared" si="0"/>
        <v>-1</v>
      </c>
      <c r="H41" s="180">
        <f t="shared" si="1"/>
        <v>-4.7846889952153108E-3</v>
      </c>
      <c r="I41" s="183">
        <f t="shared" si="2"/>
        <v>-44</v>
      </c>
      <c r="J41" s="166">
        <f t="shared" si="3"/>
        <v>-0.17460317460317459</v>
      </c>
    </row>
    <row r="42" spans="1:10" s="1" customFormat="1" ht="25.5">
      <c r="A42" s="79" t="s">
        <v>92</v>
      </c>
      <c r="B42" s="164" t="s">
        <v>23</v>
      </c>
      <c r="C42" s="169" t="s">
        <v>54</v>
      </c>
      <c r="D42" s="171">
        <v>1970</v>
      </c>
      <c r="E42" s="174">
        <v>1860</v>
      </c>
      <c r="F42" s="171">
        <v>2513</v>
      </c>
      <c r="G42" s="177">
        <f t="shared" si="0"/>
        <v>-110</v>
      </c>
      <c r="H42" s="180">
        <f t="shared" si="1"/>
        <v>-5.5837563451776651E-2</v>
      </c>
      <c r="I42" s="183">
        <f t="shared" si="2"/>
        <v>-653</v>
      </c>
      <c r="J42" s="166">
        <f t="shared" si="3"/>
        <v>-0.25984878631118186</v>
      </c>
    </row>
    <row r="43" spans="1:10" s="1" customFormat="1" ht="25.5">
      <c r="A43" s="79" t="s">
        <v>86</v>
      </c>
      <c r="B43" s="164" t="s">
        <v>44</v>
      </c>
      <c r="C43" s="169" t="s">
        <v>55</v>
      </c>
      <c r="D43" s="171">
        <v>79</v>
      </c>
      <c r="E43" s="174">
        <v>85</v>
      </c>
      <c r="F43" s="171">
        <v>71</v>
      </c>
      <c r="G43" s="177">
        <f t="shared" si="0"/>
        <v>6</v>
      </c>
      <c r="H43" s="180">
        <f t="shared" si="1"/>
        <v>7.5949367088607597E-2</v>
      </c>
      <c r="I43" s="183">
        <f t="shared" si="2"/>
        <v>14</v>
      </c>
      <c r="J43" s="166">
        <f t="shared" si="3"/>
        <v>0.19718309859154928</v>
      </c>
    </row>
    <row r="44" spans="1:10" s="1" customFormat="1" ht="25.5">
      <c r="A44" s="79" t="s">
        <v>93</v>
      </c>
      <c r="B44" s="164" t="s">
        <v>24</v>
      </c>
      <c r="C44" s="169" t="s">
        <v>54</v>
      </c>
      <c r="D44" s="171">
        <v>642</v>
      </c>
      <c r="E44" s="174">
        <v>698</v>
      </c>
      <c r="F44" s="171">
        <v>753</v>
      </c>
      <c r="G44" s="177">
        <f t="shared" si="0"/>
        <v>56</v>
      </c>
      <c r="H44" s="180">
        <f t="shared" si="1"/>
        <v>8.7227414330218064E-2</v>
      </c>
      <c r="I44" s="183">
        <f t="shared" si="2"/>
        <v>-55</v>
      </c>
      <c r="J44" s="166">
        <f t="shared" si="3"/>
        <v>-7.3041168658698544E-2</v>
      </c>
    </row>
    <row r="45" spans="1:10" s="1" customFormat="1" ht="25.5">
      <c r="A45" s="79" t="s">
        <v>86</v>
      </c>
      <c r="B45" s="164" t="s">
        <v>25</v>
      </c>
      <c r="C45" s="169" t="s">
        <v>54</v>
      </c>
      <c r="D45" s="171">
        <v>1779</v>
      </c>
      <c r="E45" s="174">
        <v>1770</v>
      </c>
      <c r="F45" s="171">
        <v>2499</v>
      </c>
      <c r="G45" s="177">
        <f t="shared" si="0"/>
        <v>-9</v>
      </c>
      <c r="H45" s="180">
        <f t="shared" si="1"/>
        <v>-5.0590219224283303E-3</v>
      </c>
      <c r="I45" s="183">
        <f t="shared" si="2"/>
        <v>-729</v>
      </c>
      <c r="J45" s="166">
        <f t="shared" si="3"/>
        <v>-0.29171668667466988</v>
      </c>
    </row>
    <row r="46" spans="1:10" s="1" customFormat="1" ht="25.5">
      <c r="A46" s="79" t="s">
        <v>91</v>
      </c>
      <c r="B46" s="164" t="s">
        <v>45</v>
      </c>
      <c r="C46" s="169" t="s">
        <v>54</v>
      </c>
      <c r="D46" s="171">
        <v>1859</v>
      </c>
      <c r="E46" s="174">
        <v>1845</v>
      </c>
      <c r="F46" s="171">
        <v>2216</v>
      </c>
      <c r="G46" s="177">
        <f t="shared" si="0"/>
        <v>-14</v>
      </c>
      <c r="H46" s="180">
        <f t="shared" si="1"/>
        <v>-7.5309306078536848E-3</v>
      </c>
      <c r="I46" s="183">
        <f t="shared" si="2"/>
        <v>-371</v>
      </c>
      <c r="J46" s="166">
        <f t="shared" si="3"/>
        <v>-0.16741877256317689</v>
      </c>
    </row>
    <row r="47" spans="1:10" s="1" customFormat="1" ht="25.5">
      <c r="A47" s="79" t="s">
        <v>86</v>
      </c>
      <c r="B47" s="164" t="s">
        <v>46</v>
      </c>
      <c r="C47" s="169" t="s">
        <v>55</v>
      </c>
      <c r="D47" s="171">
        <v>43</v>
      </c>
      <c r="E47" s="174">
        <v>41</v>
      </c>
      <c r="F47" s="171">
        <v>37</v>
      </c>
      <c r="G47" s="177">
        <f t="shared" si="0"/>
        <v>-2</v>
      </c>
      <c r="H47" s="180">
        <f t="shared" si="1"/>
        <v>-4.6511627906976744E-2</v>
      </c>
      <c r="I47" s="183">
        <f t="shared" si="2"/>
        <v>4</v>
      </c>
      <c r="J47" s="166">
        <f t="shared" si="3"/>
        <v>0.10810810810810811</v>
      </c>
    </row>
    <row r="48" spans="1:10" s="1" customFormat="1" ht="25.5">
      <c r="A48" s="79" t="s">
        <v>86</v>
      </c>
      <c r="B48" s="164" t="s">
        <v>26</v>
      </c>
      <c r="C48" s="169" t="s">
        <v>54</v>
      </c>
      <c r="D48" s="171">
        <v>1628</v>
      </c>
      <c r="E48" s="174">
        <v>1725</v>
      </c>
      <c r="F48" s="171">
        <v>1793</v>
      </c>
      <c r="G48" s="177">
        <f t="shared" si="0"/>
        <v>97</v>
      </c>
      <c r="H48" s="180">
        <f t="shared" si="1"/>
        <v>5.9582309582309582E-2</v>
      </c>
      <c r="I48" s="183">
        <f t="shared" si="2"/>
        <v>-68</v>
      </c>
      <c r="J48" s="166">
        <f t="shared" si="3"/>
        <v>-3.7925264919129953E-2</v>
      </c>
    </row>
    <row r="49" spans="1:10" s="1" customFormat="1" ht="26.25" thickBot="1">
      <c r="A49" s="79" t="s">
        <v>86</v>
      </c>
      <c r="B49" s="185" t="s">
        <v>47</v>
      </c>
      <c r="C49" s="186" t="s">
        <v>55</v>
      </c>
      <c r="D49" s="172">
        <v>115</v>
      </c>
      <c r="E49" s="175">
        <v>120</v>
      </c>
      <c r="F49" s="172">
        <v>108</v>
      </c>
      <c r="G49" s="178">
        <f t="shared" si="0"/>
        <v>5</v>
      </c>
      <c r="H49" s="181">
        <f t="shared" si="1"/>
        <v>4.3478260869565216E-2</v>
      </c>
      <c r="I49" s="184">
        <f t="shared" si="2"/>
        <v>12</v>
      </c>
      <c r="J49" s="167">
        <f t="shared" si="3"/>
        <v>0.1111111111111111</v>
      </c>
    </row>
    <row r="50" spans="1:10" s="6" customFormat="1" ht="26.25" thickTop="1" thickBot="1">
      <c r="B50" s="187" t="s">
        <v>48</v>
      </c>
      <c r="C50" s="192"/>
      <c r="D50" s="191">
        <f>SUM(D5:D49)</f>
        <v>154325</v>
      </c>
      <c r="E50" s="188">
        <f>SUM(POBACTUAL)</f>
        <v>155321</v>
      </c>
      <c r="F50" s="188">
        <f>SUM(F5:F49)</f>
        <v>184562</v>
      </c>
      <c r="G50" s="188">
        <f>SUM(G5:G49)</f>
        <v>996</v>
      </c>
      <c r="H50" s="189">
        <f>IFERROR((E50-D50)/D50,0)</f>
        <v>6.453912198282845E-3</v>
      </c>
      <c r="I50" s="188">
        <f>SUM(I5:I49)</f>
        <v>-29241</v>
      </c>
      <c r="J50" s="190">
        <f>IFERROR((E50-F50)/F50,0)</f>
        <v>-0.15843456399475514</v>
      </c>
    </row>
    <row r="51" spans="1:10" ht="18.75" thickTop="1">
      <c r="H51" s="3"/>
    </row>
    <row r="52" spans="1:10">
      <c r="H52" s="4"/>
    </row>
  </sheetData>
  <sheetProtection password="D3D2" sheet="1" objects="1" scenarios="1"/>
  <mergeCells count="8">
    <mergeCell ref="C1:J1"/>
    <mergeCell ref="A3:A4"/>
    <mergeCell ref="B3:B4"/>
    <mergeCell ref="C3:C4"/>
    <mergeCell ref="G3:H3"/>
    <mergeCell ref="I3:J3"/>
    <mergeCell ref="D2:H2"/>
    <mergeCell ref="I2:J2"/>
  </mergeCells>
  <conditionalFormatting sqref="J5:J49">
    <cfRule type="expression" dxfId="126" priority="4">
      <formula>J5=IF(C5="Mayor 20000",MAX(IF(($C$5:$C$49="Mayor 20000"),$J$5:$J$49,"")))</formula>
    </cfRule>
    <cfRule type="expression" dxfId="125" priority="9">
      <formula>J5=IF(C5="Mayor 20000",MIN(IF(($C$5:$C$49="Mayor 20000"),$J$5:$J$49,"")))</formula>
    </cfRule>
    <cfRule type="expression" dxfId="124" priority="12">
      <formula>J5=IF(C5="Entre 5000-20000",MAX(IF(($C$5:$C$49="Entre 5000-20000"),$J$5:$J$49,"")))</formula>
    </cfRule>
    <cfRule type="expression" dxfId="123" priority="16">
      <formula>J5=IF(C5="Entre 5000-20000",MIN(IF(($C$5:$C$49="Entre 5000-20000"),$J$5:$J$49,"")))</formula>
    </cfRule>
    <cfRule type="expression" dxfId="122" priority="25">
      <formula>J5=IF(C5="Menor 5000",MAX(IF(($C$5:$C$49="Menor 5000"),$J$5:$J$49,"")))</formula>
    </cfRule>
    <cfRule type="expression" dxfId="121" priority="32">
      <formula>J5=IF(C5="Menor 5000",MIN(IF(($C$5:$C$49="Menor 5000"),$J$5:$J$49,"")))</formula>
    </cfRule>
  </conditionalFormatting>
  <conditionalFormatting sqref="I5:I49">
    <cfRule type="expression" dxfId="120" priority="3">
      <formula>I5=IF(C5="Mayor 20000",MAX(IF(($C$5:$C$49="Mayor 20000"),$I$5:$I$49,"")))</formula>
    </cfRule>
    <cfRule type="expression" dxfId="119" priority="8">
      <formula>I5=IF(C5="Mayor 20000",MIN(IF(($C$5:$C$49="Mayor 20000"),$I$5:$I$49,"")))</formula>
    </cfRule>
    <cfRule type="expression" dxfId="118" priority="11">
      <formula>I5=IF(C5="Entre 5000-20000",MAX(IF(($C$5:$C$49="Entre 5000-20000"),$I$5:$I$49,"")))</formula>
    </cfRule>
    <cfRule type="expression" dxfId="117" priority="15">
      <formula>I5=IF(C5="Entre 5000-20000",MIN(IF(($C$5:$C$49="Entre 5000-20000"),$I$5:$I$49,"")))</formula>
    </cfRule>
    <cfRule type="expression" dxfId="116" priority="19">
      <formula>I5=IF(C5="Menor 5000",MAX(IF(($C$5:$C$49="Menor 5000"),$I$5:$I$49,"")))</formula>
    </cfRule>
    <cfRule type="expression" dxfId="115" priority="28">
      <formula>I5=IF(C5="Menor 5000",MIN(IF(($C$5:$C$49="Menor 5000"),$I$5:$I$49,"")))</formula>
    </cfRule>
  </conditionalFormatting>
  <conditionalFormatting sqref="G5:G49">
    <cfRule type="expression" dxfId="114" priority="116">
      <formula>G5=IF($C5="Mayor 20000",MAX(IF(($C$5:$C$49="Mayor 20000"),G$5:G$49,"")))</formula>
    </cfRule>
    <cfRule type="expression" dxfId="113" priority="117">
      <formula>G5=IF($C5="Entre 5000-20000",MAX(IF(($C$5:$C$49="Entre 5000-20000"),G$5:G$49,"")))</formula>
    </cfRule>
    <cfRule type="expression" dxfId="112" priority="118">
      <formula>G5=IF($C5="Mayor 20000",MIN(IF(($C$5:$C$49="Mayor 20000"),G$5:G$49,"")))</formula>
    </cfRule>
    <cfRule type="expression" dxfId="111" priority="119">
      <formula>G5=IF($C5="Entre 5000-20000",MIN(IF(($C$5:$C$49="Entre 5000-20000"),G$5:G$49,"")))</formula>
    </cfRule>
    <cfRule type="expression" dxfId="110" priority="120">
      <formula>G5=IF(C5="Menor 5000",MAX(IF(($C$5:$C$49="Menor 5000"),$G$5:$G$49,"")))</formula>
    </cfRule>
    <cfRule type="expression" dxfId="109" priority="121">
      <formula>G5=IF(C5="Menor 5000",MIN(IF(($C$5:$C$49="Menor 5000"),$G$5:$G$49,"")))</formula>
    </cfRule>
  </conditionalFormatting>
  <conditionalFormatting sqref="H5:H49">
    <cfRule type="expression" dxfId="108" priority="122">
      <formula>H5=IF($C5="Mayor 20000",MAX(IF(($C$5:$C$49="Mayor 20000"),H$5:H$49,"")))</formula>
    </cfRule>
    <cfRule type="expression" dxfId="107" priority="123">
      <formula>H5=IF(C5="Mayor 20000",MIN(IF(($C$5:$C$49="Mayor 20000"),$H$5:$H$49,"")))</formula>
    </cfRule>
    <cfRule type="expression" dxfId="106" priority="124">
      <formula>H5=IF(C5="Entre 5000-20000",MAX(IF(($C$5:$C$49="Entre 5000-20000"),$H$5:$H$49,"")))</formula>
    </cfRule>
    <cfRule type="expression" dxfId="105" priority="125">
      <formula>H5=IF(C5="Entre 5000-20000",MIN(IF(($C$5:$C$49="Entre 5000-20000"),$H$5:$H$49,"")))</formula>
    </cfRule>
    <cfRule type="expression" dxfId="104" priority="126">
      <formula>H5=IF(C5="Menor 5000",MAX(IF(($C$5:$C$49="Menor 5000"),$H$5:$H$49,"")))</formula>
    </cfRule>
    <cfRule type="expression" dxfId="103" priority="127">
      <formula>H5=IF(C5="Menor 5000",MIN(IF(($C$5:$C$49="Menor 5000"),$H$5:$H$49,"")))</formula>
    </cfRule>
  </conditionalFormatting>
  <printOptions horizontalCentered="1"/>
  <pageMargins left="0.51181102362204722" right="0.51181102362204722" top="0.55118110236220474" bottom="0.55118110236220474" header="0" footer="0.19685039370078741"/>
  <pageSetup paperSize="9" scale="39" orientation="landscape" r:id="rId1"/>
  <headerFooter>
    <oddFooter>&amp;L&amp;"Rockwell,Normal"&amp;14&amp;K04-017Fuentes: Servicio Público de Empleo Estatal
Informe elaborado por el IEDT. Diputación de Cádiz&amp;R&amp;"Rockwell,Normal"&amp;14&amp;K04-022 3 de&amp;K04-017 8</oddFooter>
  </headerFooter>
  <ignoredErrors>
    <ignoredError sqref="E50 H50" formula="1"/>
  </ignoredErrors>
  <drawing r:id="rId2"/>
</worksheet>
</file>

<file path=xl/worksheets/sheet3.xml><?xml version="1.0" encoding="utf-8"?>
<worksheet xmlns="http://schemas.openxmlformats.org/spreadsheetml/2006/main" xmlns:r="http://schemas.openxmlformats.org/officeDocument/2006/relationships">
  <sheetPr>
    <pageSetUpPr fitToPage="1"/>
  </sheetPr>
  <dimension ref="A1:W51"/>
  <sheetViews>
    <sheetView showGridLines="0" view="pageLayout" topLeftCell="D13" zoomScale="62" zoomScaleNormal="28" zoomScalePageLayoutView="62" workbookViewId="0">
      <selection activeCell="M50" sqref="M50:Q50"/>
    </sheetView>
  </sheetViews>
  <sheetFormatPr baseColWidth="10" defaultRowHeight="15"/>
  <cols>
    <col min="1" max="1" width="49.140625" customWidth="1"/>
    <col min="2" max="2" width="24.140625" customWidth="1"/>
    <col min="3" max="3" width="18.140625" customWidth="1"/>
    <col min="4" max="4" width="18.28515625" customWidth="1"/>
    <col min="5" max="12" width="18.140625" customWidth="1"/>
    <col min="13" max="19" width="18.28515625" customWidth="1"/>
    <col min="20" max="22" width="17.85546875" customWidth="1"/>
    <col min="23" max="23" width="0" hidden="1" customWidth="1"/>
  </cols>
  <sheetData>
    <row r="1" spans="1:23" ht="45" customHeight="1">
      <c r="C1" s="353" t="s">
        <v>65</v>
      </c>
      <c r="D1" s="353"/>
      <c r="E1" s="353"/>
      <c r="F1" s="353"/>
      <c r="G1" s="353"/>
      <c r="H1" s="353"/>
      <c r="I1" s="353"/>
      <c r="J1" s="353"/>
      <c r="K1" s="353"/>
      <c r="L1" s="353"/>
      <c r="M1" s="353"/>
      <c r="N1" s="353"/>
      <c r="O1" s="353"/>
      <c r="P1" s="353"/>
      <c r="Q1" s="353"/>
      <c r="R1" s="353"/>
      <c r="S1" s="353"/>
      <c r="T1" s="353"/>
      <c r="U1" s="353"/>
      <c r="V1" s="353"/>
    </row>
    <row r="2" spans="1:23" s="20" customFormat="1" ht="49.5" customHeight="1" thickBot="1">
      <c r="D2" s="21"/>
      <c r="E2" s="365" t="s">
        <v>98</v>
      </c>
      <c r="F2" s="365"/>
      <c r="G2" s="365"/>
      <c r="H2" s="365"/>
      <c r="I2" s="365"/>
      <c r="J2" s="365"/>
      <c r="K2" s="365"/>
      <c r="L2" s="365"/>
      <c r="M2" s="365"/>
      <c r="N2" s="365"/>
      <c r="O2" s="365"/>
      <c r="P2" s="365"/>
      <c r="Q2" s="365"/>
      <c r="R2" s="365"/>
      <c r="S2" s="365"/>
      <c r="T2" s="364">
        <f>FECHA.ACT</f>
        <v>44621</v>
      </c>
      <c r="U2" s="364"/>
      <c r="V2" s="364"/>
      <c r="W2" s="22">
        <f>+EDATE(T2,-1)</f>
        <v>44593</v>
      </c>
    </row>
    <row r="3" spans="1:23" ht="36.75" customHeight="1" thickTop="1" thickBot="1">
      <c r="A3" s="354" t="s">
        <v>57</v>
      </c>
      <c r="B3" s="356" t="s">
        <v>53</v>
      </c>
      <c r="C3" s="358" t="s">
        <v>63</v>
      </c>
      <c r="D3" s="359"/>
      <c r="E3" s="359"/>
      <c r="F3" s="360" t="str">
        <f>UPPER(TEXT(T2,"mmmm aaaa"))</f>
        <v>MARZO 2022</v>
      </c>
      <c r="G3" s="361"/>
      <c r="H3" s="358" t="s">
        <v>58</v>
      </c>
      <c r="I3" s="359"/>
      <c r="J3" s="359"/>
      <c r="K3" s="360" t="str">
        <f>UPPER(TEXT(W2,"mmmm aaaa"))</f>
        <v>FEBRERO 2022</v>
      </c>
      <c r="L3" s="361"/>
      <c r="M3" s="362" t="s">
        <v>61</v>
      </c>
      <c r="N3" s="362"/>
      <c r="O3" s="362"/>
      <c r="P3" s="362"/>
      <c r="Q3" s="362"/>
      <c r="R3" s="362" t="s">
        <v>62</v>
      </c>
      <c r="S3" s="362"/>
      <c r="T3" s="362"/>
      <c r="U3" s="362"/>
      <c r="V3" s="363"/>
    </row>
    <row r="4" spans="1:23" ht="82.5" customHeight="1" thickBot="1">
      <c r="A4" s="355"/>
      <c r="B4" s="357"/>
      <c r="C4" s="198" t="s">
        <v>116</v>
      </c>
      <c r="D4" s="198" t="s">
        <v>27</v>
      </c>
      <c r="E4" s="198" t="s">
        <v>64</v>
      </c>
      <c r="F4" s="198" t="s">
        <v>28</v>
      </c>
      <c r="G4" s="198" t="s">
        <v>29</v>
      </c>
      <c r="H4" s="198" t="s">
        <v>116</v>
      </c>
      <c r="I4" s="198" t="s">
        <v>27</v>
      </c>
      <c r="J4" s="198" t="s">
        <v>64</v>
      </c>
      <c r="K4" s="198" t="s">
        <v>28</v>
      </c>
      <c r="L4" s="198" t="s">
        <v>29</v>
      </c>
      <c r="M4" s="198" t="s">
        <v>116</v>
      </c>
      <c r="N4" s="198" t="s">
        <v>27</v>
      </c>
      <c r="O4" s="198" t="s">
        <v>64</v>
      </c>
      <c r="P4" s="198" t="s">
        <v>28</v>
      </c>
      <c r="Q4" s="198" t="s">
        <v>29</v>
      </c>
      <c r="R4" s="198" t="s">
        <v>116</v>
      </c>
      <c r="S4" s="198" t="s">
        <v>27</v>
      </c>
      <c r="T4" s="198" t="s">
        <v>64</v>
      </c>
      <c r="U4" s="198" t="s">
        <v>28</v>
      </c>
      <c r="V4" s="199" t="s">
        <v>29</v>
      </c>
    </row>
    <row r="5" spans="1:23" s="1" customFormat="1" ht="30" customHeight="1" thickTop="1">
      <c r="A5" s="163" t="s">
        <v>30</v>
      </c>
      <c r="B5" s="200" t="s">
        <v>54</v>
      </c>
      <c r="C5" s="204">
        <v>84</v>
      </c>
      <c r="D5" s="205">
        <v>28</v>
      </c>
      <c r="E5" s="205">
        <v>66</v>
      </c>
      <c r="F5" s="205">
        <v>510</v>
      </c>
      <c r="G5" s="206">
        <v>47</v>
      </c>
      <c r="H5" s="215">
        <v>81</v>
      </c>
      <c r="I5" s="216">
        <v>31</v>
      </c>
      <c r="J5" s="216">
        <v>49</v>
      </c>
      <c r="K5" s="216">
        <v>533</v>
      </c>
      <c r="L5" s="217">
        <v>46</v>
      </c>
      <c r="M5" s="222">
        <f t="shared" ref="M5:Q5" si="0">+C5-H5</f>
        <v>3</v>
      </c>
      <c r="N5" s="223">
        <f t="shared" si="0"/>
        <v>-3</v>
      </c>
      <c r="O5" s="223">
        <f t="shared" si="0"/>
        <v>17</v>
      </c>
      <c r="P5" s="223">
        <f t="shared" si="0"/>
        <v>-23</v>
      </c>
      <c r="Q5" s="224">
        <f t="shared" si="0"/>
        <v>1</v>
      </c>
      <c r="R5" s="231">
        <f>IFERROR(M5/H5,0)</f>
        <v>3.7037037037037035E-2</v>
      </c>
      <c r="S5" s="232">
        <f>IFERROR(N5/I5,0)</f>
        <v>-9.6774193548387094E-2</v>
      </c>
      <c r="T5" s="232">
        <f>IFERROR(O5/J5,0)</f>
        <v>0.34693877551020408</v>
      </c>
      <c r="U5" s="232">
        <f>IFERROR(P5/K5,0)</f>
        <v>-4.3151969981238276E-2</v>
      </c>
      <c r="V5" s="233">
        <f>IFERROR(Q5/L5,0)</f>
        <v>2.1739130434782608E-2</v>
      </c>
    </row>
    <row r="6" spans="1:23" s="1" customFormat="1" ht="30" customHeight="1">
      <c r="A6" s="164" t="s">
        <v>31</v>
      </c>
      <c r="B6" s="201" t="s">
        <v>54</v>
      </c>
      <c r="C6" s="207">
        <v>112</v>
      </c>
      <c r="D6" s="208">
        <v>9</v>
      </c>
      <c r="E6" s="208">
        <v>31</v>
      </c>
      <c r="F6" s="208">
        <v>211</v>
      </c>
      <c r="G6" s="209">
        <v>18</v>
      </c>
      <c r="H6" s="218">
        <v>117</v>
      </c>
      <c r="I6" s="210">
        <v>7</v>
      </c>
      <c r="J6" s="210">
        <v>39</v>
      </c>
      <c r="K6" s="210">
        <v>200</v>
      </c>
      <c r="L6" s="211">
        <v>20</v>
      </c>
      <c r="M6" s="225">
        <f t="shared" ref="M6:M49" si="1">+C6-H6</f>
        <v>-5</v>
      </c>
      <c r="N6" s="226">
        <f t="shared" ref="N6:N49" si="2">+D6-I6</f>
        <v>2</v>
      </c>
      <c r="O6" s="226">
        <f t="shared" ref="O6:O49" si="3">+E6-J6</f>
        <v>-8</v>
      </c>
      <c r="P6" s="226">
        <f t="shared" ref="P6:P49" si="4">+F6-K6</f>
        <v>11</v>
      </c>
      <c r="Q6" s="227">
        <f t="shared" ref="Q6:Q49" si="5">+G6-L6</f>
        <v>-2</v>
      </c>
      <c r="R6" s="234">
        <f>IFERROR(M6/H6,0)</f>
        <v>-4.2735042735042736E-2</v>
      </c>
      <c r="S6" s="235">
        <f t="shared" ref="S6:V20" si="6">IFERROR(+N6/I6,0)</f>
        <v>0.2857142857142857</v>
      </c>
      <c r="T6" s="235">
        <f t="shared" si="6"/>
        <v>-0.20512820512820512</v>
      </c>
      <c r="U6" s="235">
        <f t="shared" si="6"/>
        <v>5.5E-2</v>
      </c>
      <c r="V6" s="236">
        <f t="shared" si="6"/>
        <v>-0.1</v>
      </c>
    </row>
    <row r="7" spans="1:23" s="1" customFormat="1" ht="30" customHeight="1">
      <c r="A7" s="164" t="s">
        <v>5</v>
      </c>
      <c r="B7" s="201" t="s">
        <v>55</v>
      </c>
      <c r="C7" s="207">
        <v>12</v>
      </c>
      <c r="D7" s="208">
        <v>6</v>
      </c>
      <c r="E7" s="208">
        <v>18</v>
      </c>
      <c r="F7" s="208">
        <v>114</v>
      </c>
      <c r="G7" s="209">
        <v>17</v>
      </c>
      <c r="H7" s="218">
        <v>8</v>
      </c>
      <c r="I7" s="210">
        <v>6</v>
      </c>
      <c r="J7" s="210">
        <v>15</v>
      </c>
      <c r="K7" s="210">
        <v>106</v>
      </c>
      <c r="L7" s="211">
        <v>11</v>
      </c>
      <c r="M7" s="225">
        <f t="shared" si="1"/>
        <v>4</v>
      </c>
      <c r="N7" s="226">
        <f t="shared" si="2"/>
        <v>0</v>
      </c>
      <c r="O7" s="226">
        <f t="shared" si="3"/>
        <v>3</v>
      </c>
      <c r="P7" s="226">
        <f t="shared" si="4"/>
        <v>8</v>
      </c>
      <c r="Q7" s="227">
        <f t="shared" si="5"/>
        <v>6</v>
      </c>
      <c r="R7" s="234">
        <f t="shared" ref="R7:S49" si="7">IFERROR(+M7/H7,0)</f>
        <v>0.5</v>
      </c>
      <c r="S7" s="235">
        <f t="shared" si="6"/>
        <v>0</v>
      </c>
      <c r="T7" s="235">
        <f t="shared" si="6"/>
        <v>0.2</v>
      </c>
      <c r="U7" s="235">
        <f t="shared" si="6"/>
        <v>7.5471698113207544E-2</v>
      </c>
      <c r="V7" s="236">
        <f t="shared" si="6"/>
        <v>0.54545454545454541</v>
      </c>
    </row>
    <row r="8" spans="1:23" s="1" customFormat="1" ht="30" customHeight="1">
      <c r="A8" s="164" t="s">
        <v>6</v>
      </c>
      <c r="B8" s="201" t="s">
        <v>56</v>
      </c>
      <c r="C8" s="207">
        <v>321</v>
      </c>
      <c r="D8" s="208">
        <v>682</v>
      </c>
      <c r="E8" s="208">
        <v>1304</v>
      </c>
      <c r="F8" s="208">
        <v>10485</v>
      </c>
      <c r="G8" s="209">
        <v>2436</v>
      </c>
      <c r="H8" s="218">
        <v>314</v>
      </c>
      <c r="I8" s="210">
        <v>695</v>
      </c>
      <c r="J8" s="210">
        <v>1288</v>
      </c>
      <c r="K8" s="210">
        <v>10549</v>
      </c>
      <c r="L8" s="211">
        <v>2409</v>
      </c>
      <c r="M8" s="225">
        <f t="shared" si="1"/>
        <v>7</v>
      </c>
      <c r="N8" s="226">
        <f t="shared" si="2"/>
        <v>-13</v>
      </c>
      <c r="O8" s="226">
        <f t="shared" si="3"/>
        <v>16</v>
      </c>
      <c r="P8" s="226">
        <f t="shared" si="4"/>
        <v>-64</v>
      </c>
      <c r="Q8" s="227">
        <f t="shared" si="5"/>
        <v>27</v>
      </c>
      <c r="R8" s="234">
        <f t="shared" si="7"/>
        <v>2.2292993630573247E-2</v>
      </c>
      <c r="S8" s="235">
        <f t="shared" si="6"/>
        <v>-1.870503597122302E-2</v>
      </c>
      <c r="T8" s="235">
        <f t="shared" si="6"/>
        <v>1.2422360248447204E-2</v>
      </c>
      <c r="U8" s="235">
        <f t="shared" si="6"/>
        <v>-6.0669257749549716E-3</v>
      </c>
      <c r="V8" s="236">
        <f t="shared" si="6"/>
        <v>1.1207970112079701E-2</v>
      </c>
    </row>
    <row r="9" spans="1:23" s="1" customFormat="1" ht="30" customHeight="1">
      <c r="A9" s="164" t="s">
        <v>7</v>
      </c>
      <c r="B9" s="201" t="s">
        <v>54</v>
      </c>
      <c r="C9" s="207">
        <v>103</v>
      </c>
      <c r="D9" s="208">
        <v>12</v>
      </c>
      <c r="E9" s="208">
        <v>48</v>
      </c>
      <c r="F9" s="208">
        <v>326</v>
      </c>
      <c r="G9" s="209">
        <v>37</v>
      </c>
      <c r="H9" s="218">
        <v>106</v>
      </c>
      <c r="I9" s="210">
        <v>10</v>
      </c>
      <c r="J9" s="210">
        <v>30</v>
      </c>
      <c r="K9" s="210">
        <v>327</v>
      </c>
      <c r="L9" s="211">
        <v>34</v>
      </c>
      <c r="M9" s="225">
        <f t="shared" si="1"/>
        <v>-3</v>
      </c>
      <c r="N9" s="226">
        <f t="shared" si="2"/>
        <v>2</v>
      </c>
      <c r="O9" s="226">
        <f t="shared" si="3"/>
        <v>18</v>
      </c>
      <c r="P9" s="226">
        <f t="shared" si="4"/>
        <v>-1</v>
      </c>
      <c r="Q9" s="227">
        <f t="shared" si="5"/>
        <v>3</v>
      </c>
      <c r="R9" s="234">
        <f t="shared" si="7"/>
        <v>-2.8301886792452831E-2</v>
      </c>
      <c r="S9" s="235">
        <f t="shared" si="6"/>
        <v>0.2</v>
      </c>
      <c r="T9" s="235">
        <f t="shared" si="6"/>
        <v>0.6</v>
      </c>
      <c r="U9" s="235">
        <f t="shared" si="6"/>
        <v>-3.0581039755351682E-3</v>
      </c>
      <c r="V9" s="236">
        <f t="shared" si="6"/>
        <v>8.8235294117647065E-2</v>
      </c>
    </row>
    <row r="10" spans="1:23" s="1" customFormat="1" ht="30" customHeight="1">
      <c r="A10" s="164" t="s">
        <v>115</v>
      </c>
      <c r="B10" s="201" t="s">
        <v>56</v>
      </c>
      <c r="C10" s="207">
        <v>427</v>
      </c>
      <c r="D10" s="208">
        <v>167</v>
      </c>
      <c r="E10" s="208">
        <v>817</v>
      </c>
      <c r="F10" s="208">
        <v>3042</v>
      </c>
      <c r="G10" s="209">
        <v>330</v>
      </c>
      <c r="H10" s="218">
        <v>409</v>
      </c>
      <c r="I10" s="210">
        <v>165</v>
      </c>
      <c r="J10" s="210">
        <v>662</v>
      </c>
      <c r="K10" s="210">
        <v>3011</v>
      </c>
      <c r="L10" s="211">
        <v>315</v>
      </c>
      <c r="M10" s="225">
        <f t="shared" si="1"/>
        <v>18</v>
      </c>
      <c r="N10" s="226">
        <f t="shared" si="2"/>
        <v>2</v>
      </c>
      <c r="O10" s="226">
        <f t="shared" si="3"/>
        <v>155</v>
      </c>
      <c r="P10" s="226">
        <f t="shared" si="4"/>
        <v>31</v>
      </c>
      <c r="Q10" s="227">
        <f t="shared" si="5"/>
        <v>15</v>
      </c>
      <c r="R10" s="234">
        <f t="shared" si="7"/>
        <v>4.4009779951100246E-2</v>
      </c>
      <c r="S10" s="235">
        <f t="shared" si="6"/>
        <v>1.2121212121212121E-2</v>
      </c>
      <c r="T10" s="235">
        <f t="shared" si="6"/>
        <v>0.23413897280966767</v>
      </c>
      <c r="U10" s="235">
        <f t="shared" si="6"/>
        <v>1.0295582862836267E-2</v>
      </c>
      <c r="V10" s="236">
        <f t="shared" si="6"/>
        <v>4.7619047619047616E-2</v>
      </c>
    </row>
    <row r="11" spans="1:23" s="1" customFormat="1" ht="30" customHeight="1">
      <c r="A11" s="164" t="s">
        <v>8</v>
      </c>
      <c r="B11" s="201" t="s">
        <v>56</v>
      </c>
      <c r="C11" s="207">
        <v>169</v>
      </c>
      <c r="D11" s="208">
        <v>280</v>
      </c>
      <c r="E11" s="208">
        <v>281</v>
      </c>
      <c r="F11" s="208">
        <v>2792</v>
      </c>
      <c r="G11" s="209">
        <v>351</v>
      </c>
      <c r="H11" s="218">
        <v>162</v>
      </c>
      <c r="I11" s="210">
        <v>298</v>
      </c>
      <c r="J11" s="210">
        <v>277</v>
      </c>
      <c r="K11" s="210">
        <v>2965</v>
      </c>
      <c r="L11" s="211">
        <v>365</v>
      </c>
      <c r="M11" s="225">
        <f t="shared" si="1"/>
        <v>7</v>
      </c>
      <c r="N11" s="226">
        <f t="shared" si="2"/>
        <v>-18</v>
      </c>
      <c r="O11" s="226">
        <f t="shared" si="3"/>
        <v>4</v>
      </c>
      <c r="P11" s="226">
        <f t="shared" si="4"/>
        <v>-173</v>
      </c>
      <c r="Q11" s="227">
        <f t="shared" si="5"/>
        <v>-14</v>
      </c>
      <c r="R11" s="234">
        <f t="shared" si="7"/>
        <v>4.3209876543209874E-2</v>
      </c>
      <c r="S11" s="235">
        <f t="shared" si="6"/>
        <v>-6.0402684563758392E-2</v>
      </c>
      <c r="T11" s="235">
        <f t="shared" si="6"/>
        <v>1.444043321299639E-2</v>
      </c>
      <c r="U11" s="235">
        <f t="shared" si="6"/>
        <v>-5.8347386172006743E-2</v>
      </c>
      <c r="V11" s="236">
        <f t="shared" si="6"/>
        <v>-3.8356164383561646E-2</v>
      </c>
    </row>
    <row r="12" spans="1:23" s="1" customFormat="1" ht="30" customHeight="1">
      <c r="A12" s="164" t="s">
        <v>9</v>
      </c>
      <c r="B12" s="201" t="s">
        <v>56</v>
      </c>
      <c r="C12" s="207">
        <v>72</v>
      </c>
      <c r="D12" s="208">
        <v>187</v>
      </c>
      <c r="E12" s="208">
        <v>266</v>
      </c>
      <c r="F12" s="208">
        <v>1838</v>
      </c>
      <c r="G12" s="209">
        <v>299</v>
      </c>
      <c r="H12" s="218">
        <v>76</v>
      </c>
      <c r="I12" s="210">
        <v>194</v>
      </c>
      <c r="J12" s="210">
        <v>253</v>
      </c>
      <c r="K12" s="210">
        <v>1859</v>
      </c>
      <c r="L12" s="211">
        <v>298</v>
      </c>
      <c r="M12" s="225">
        <f t="shared" si="1"/>
        <v>-4</v>
      </c>
      <c r="N12" s="226">
        <f t="shared" si="2"/>
        <v>-7</v>
      </c>
      <c r="O12" s="226">
        <f t="shared" si="3"/>
        <v>13</v>
      </c>
      <c r="P12" s="226">
        <f t="shared" si="4"/>
        <v>-21</v>
      </c>
      <c r="Q12" s="227">
        <f t="shared" si="5"/>
        <v>1</v>
      </c>
      <c r="R12" s="234">
        <f t="shared" si="7"/>
        <v>-5.2631578947368418E-2</v>
      </c>
      <c r="S12" s="235">
        <f t="shared" si="6"/>
        <v>-3.608247422680412E-2</v>
      </c>
      <c r="T12" s="235">
        <f t="shared" si="6"/>
        <v>5.1383399209486168E-2</v>
      </c>
      <c r="U12" s="235">
        <f t="shared" si="6"/>
        <v>-1.1296395911780527E-2</v>
      </c>
      <c r="V12" s="236">
        <f t="shared" si="6"/>
        <v>3.3557046979865771E-3</v>
      </c>
    </row>
    <row r="13" spans="1:23" s="1" customFormat="1" ht="30" customHeight="1">
      <c r="A13" s="164" t="s">
        <v>10</v>
      </c>
      <c r="B13" s="201" t="s">
        <v>54</v>
      </c>
      <c r="C13" s="207">
        <v>146</v>
      </c>
      <c r="D13" s="208">
        <v>26</v>
      </c>
      <c r="E13" s="208">
        <v>174</v>
      </c>
      <c r="F13" s="208">
        <v>560</v>
      </c>
      <c r="G13" s="209">
        <v>79</v>
      </c>
      <c r="H13" s="218">
        <v>144</v>
      </c>
      <c r="I13" s="210">
        <v>23</v>
      </c>
      <c r="J13" s="210">
        <v>153</v>
      </c>
      <c r="K13" s="210">
        <v>578</v>
      </c>
      <c r="L13" s="211">
        <v>81</v>
      </c>
      <c r="M13" s="225">
        <f t="shared" si="1"/>
        <v>2</v>
      </c>
      <c r="N13" s="226">
        <f t="shared" si="2"/>
        <v>3</v>
      </c>
      <c r="O13" s="226">
        <f t="shared" si="3"/>
        <v>21</v>
      </c>
      <c r="P13" s="226">
        <f t="shared" si="4"/>
        <v>-18</v>
      </c>
      <c r="Q13" s="227">
        <f t="shared" si="5"/>
        <v>-2</v>
      </c>
      <c r="R13" s="234">
        <f t="shared" si="7"/>
        <v>1.3888888888888888E-2</v>
      </c>
      <c r="S13" s="235">
        <f t="shared" si="6"/>
        <v>0.13043478260869565</v>
      </c>
      <c r="T13" s="235">
        <f t="shared" si="6"/>
        <v>0.13725490196078433</v>
      </c>
      <c r="U13" s="235">
        <f t="shared" si="6"/>
        <v>-3.1141868512110725E-2</v>
      </c>
      <c r="V13" s="236">
        <f t="shared" si="6"/>
        <v>-2.4691358024691357E-2</v>
      </c>
    </row>
    <row r="14" spans="1:23" s="1" customFormat="1" ht="30" customHeight="1">
      <c r="A14" s="164" t="s">
        <v>11</v>
      </c>
      <c r="B14" s="201" t="s">
        <v>55</v>
      </c>
      <c r="C14" s="207">
        <v>0</v>
      </c>
      <c r="D14" s="208">
        <v>8</v>
      </c>
      <c r="E14" s="208">
        <v>1</v>
      </c>
      <c r="F14" s="208">
        <v>57</v>
      </c>
      <c r="G14" s="209">
        <v>5</v>
      </c>
      <c r="H14" s="218">
        <v>0</v>
      </c>
      <c r="I14" s="210">
        <v>6</v>
      </c>
      <c r="J14" s="210">
        <v>1</v>
      </c>
      <c r="K14" s="210">
        <v>63</v>
      </c>
      <c r="L14" s="211">
        <v>5</v>
      </c>
      <c r="M14" s="225">
        <f t="shared" si="1"/>
        <v>0</v>
      </c>
      <c r="N14" s="226">
        <f t="shared" si="2"/>
        <v>2</v>
      </c>
      <c r="O14" s="226">
        <f t="shared" si="3"/>
        <v>0</v>
      </c>
      <c r="P14" s="226">
        <f t="shared" si="4"/>
        <v>-6</v>
      </c>
      <c r="Q14" s="227">
        <f t="shared" si="5"/>
        <v>0</v>
      </c>
      <c r="R14" s="234">
        <f t="shared" si="7"/>
        <v>0</v>
      </c>
      <c r="S14" s="235">
        <f t="shared" si="6"/>
        <v>0.33333333333333331</v>
      </c>
      <c r="T14" s="235">
        <f t="shared" si="6"/>
        <v>0</v>
      </c>
      <c r="U14" s="235">
        <f t="shared" si="6"/>
        <v>-9.5238095238095233E-2</v>
      </c>
      <c r="V14" s="236">
        <f t="shared" si="6"/>
        <v>0</v>
      </c>
    </row>
    <row r="15" spans="1:23" s="1" customFormat="1" ht="30" customHeight="1">
      <c r="A15" s="164" t="s">
        <v>12</v>
      </c>
      <c r="B15" s="201" t="s">
        <v>54</v>
      </c>
      <c r="C15" s="207">
        <v>129</v>
      </c>
      <c r="D15" s="208">
        <v>26</v>
      </c>
      <c r="E15" s="208">
        <v>117</v>
      </c>
      <c r="F15" s="208">
        <v>464</v>
      </c>
      <c r="G15" s="209">
        <v>47</v>
      </c>
      <c r="H15" s="218">
        <v>133</v>
      </c>
      <c r="I15" s="210">
        <v>25</v>
      </c>
      <c r="J15" s="210">
        <v>78</v>
      </c>
      <c r="K15" s="210">
        <v>468</v>
      </c>
      <c r="L15" s="211">
        <v>50</v>
      </c>
      <c r="M15" s="225">
        <f t="shared" si="1"/>
        <v>-4</v>
      </c>
      <c r="N15" s="226">
        <f t="shared" si="2"/>
        <v>1</v>
      </c>
      <c r="O15" s="226">
        <f t="shared" si="3"/>
        <v>39</v>
      </c>
      <c r="P15" s="226">
        <f t="shared" si="4"/>
        <v>-4</v>
      </c>
      <c r="Q15" s="227">
        <f t="shared" si="5"/>
        <v>-3</v>
      </c>
      <c r="R15" s="234">
        <f t="shared" si="7"/>
        <v>-3.007518796992481E-2</v>
      </c>
      <c r="S15" s="235">
        <f t="shared" si="6"/>
        <v>0.04</v>
      </c>
      <c r="T15" s="235">
        <f t="shared" si="6"/>
        <v>0.5</v>
      </c>
      <c r="U15" s="235">
        <f t="shared" si="6"/>
        <v>-8.5470085470085479E-3</v>
      </c>
      <c r="V15" s="236">
        <f t="shared" si="6"/>
        <v>-0.06</v>
      </c>
    </row>
    <row r="16" spans="1:23" s="1" customFormat="1" ht="30" customHeight="1">
      <c r="A16" s="164" t="s">
        <v>13</v>
      </c>
      <c r="B16" s="201" t="s">
        <v>55</v>
      </c>
      <c r="C16" s="207">
        <v>11</v>
      </c>
      <c r="D16" s="208">
        <v>29</v>
      </c>
      <c r="E16" s="210">
        <v>13</v>
      </c>
      <c r="F16" s="208">
        <v>144</v>
      </c>
      <c r="G16" s="209">
        <v>17</v>
      </c>
      <c r="H16" s="218">
        <v>9</v>
      </c>
      <c r="I16" s="210">
        <v>29</v>
      </c>
      <c r="J16" s="210">
        <v>12</v>
      </c>
      <c r="K16" s="210">
        <v>149</v>
      </c>
      <c r="L16" s="211">
        <v>16</v>
      </c>
      <c r="M16" s="225">
        <f t="shared" si="1"/>
        <v>2</v>
      </c>
      <c r="N16" s="226">
        <f t="shared" si="2"/>
        <v>0</v>
      </c>
      <c r="O16" s="226">
        <f t="shared" si="3"/>
        <v>1</v>
      </c>
      <c r="P16" s="226">
        <f t="shared" si="4"/>
        <v>-5</v>
      </c>
      <c r="Q16" s="227">
        <f t="shared" si="5"/>
        <v>1</v>
      </c>
      <c r="R16" s="234">
        <f t="shared" si="7"/>
        <v>0.22222222222222221</v>
      </c>
      <c r="S16" s="235">
        <f t="shared" si="6"/>
        <v>0</v>
      </c>
      <c r="T16" s="235">
        <f t="shared" si="6"/>
        <v>8.3333333333333329E-2</v>
      </c>
      <c r="U16" s="235">
        <f t="shared" si="6"/>
        <v>-3.3557046979865772E-2</v>
      </c>
      <c r="V16" s="236">
        <f t="shared" si="6"/>
        <v>6.25E-2</v>
      </c>
    </row>
    <row r="17" spans="1:22" s="1" customFormat="1" ht="30" customHeight="1">
      <c r="A17" s="164" t="s">
        <v>14</v>
      </c>
      <c r="B17" s="201" t="s">
        <v>56</v>
      </c>
      <c r="C17" s="207">
        <v>88</v>
      </c>
      <c r="D17" s="208">
        <v>829</v>
      </c>
      <c r="E17" s="208">
        <v>896</v>
      </c>
      <c r="F17" s="208">
        <v>9412</v>
      </c>
      <c r="G17" s="211">
        <v>1439</v>
      </c>
      <c r="H17" s="218">
        <v>93</v>
      </c>
      <c r="I17" s="210">
        <v>746</v>
      </c>
      <c r="J17" s="210">
        <v>869</v>
      </c>
      <c r="K17" s="210">
        <v>9351</v>
      </c>
      <c r="L17" s="211">
        <v>1356</v>
      </c>
      <c r="M17" s="225">
        <f t="shared" si="1"/>
        <v>-5</v>
      </c>
      <c r="N17" s="226">
        <f t="shared" si="2"/>
        <v>83</v>
      </c>
      <c r="O17" s="226">
        <f t="shared" si="3"/>
        <v>27</v>
      </c>
      <c r="P17" s="226">
        <f t="shared" si="4"/>
        <v>61</v>
      </c>
      <c r="Q17" s="227">
        <f t="shared" si="5"/>
        <v>83</v>
      </c>
      <c r="R17" s="234">
        <f t="shared" si="7"/>
        <v>-5.3763440860215055E-2</v>
      </c>
      <c r="S17" s="235">
        <f t="shared" si="6"/>
        <v>0.11126005361930295</v>
      </c>
      <c r="T17" s="235">
        <f t="shared" si="6"/>
        <v>3.1070195627157654E-2</v>
      </c>
      <c r="U17" s="235">
        <f t="shared" si="6"/>
        <v>6.5233664848679289E-3</v>
      </c>
      <c r="V17" s="236">
        <f t="shared" si="6"/>
        <v>6.1209439528023601E-2</v>
      </c>
    </row>
    <row r="18" spans="1:22" s="1" customFormat="1" ht="30" customHeight="1">
      <c r="A18" s="164" t="s">
        <v>32</v>
      </c>
      <c r="B18" s="201" t="s">
        <v>55</v>
      </c>
      <c r="C18" s="207">
        <v>14</v>
      </c>
      <c r="D18" s="208">
        <v>21</v>
      </c>
      <c r="E18" s="208">
        <v>23</v>
      </c>
      <c r="F18" s="208">
        <v>237</v>
      </c>
      <c r="G18" s="209">
        <v>25</v>
      </c>
      <c r="H18" s="218">
        <v>17</v>
      </c>
      <c r="I18" s="210">
        <v>22</v>
      </c>
      <c r="J18" s="210">
        <v>17</v>
      </c>
      <c r="K18" s="210">
        <v>258</v>
      </c>
      <c r="L18" s="211">
        <v>19</v>
      </c>
      <c r="M18" s="225">
        <f t="shared" si="1"/>
        <v>-3</v>
      </c>
      <c r="N18" s="226">
        <f t="shared" si="2"/>
        <v>-1</v>
      </c>
      <c r="O18" s="226">
        <f t="shared" si="3"/>
        <v>6</v>
      </c>
      <c r="P18" s="226">
        <f t="shared" si="4"/>
        <v>-21</v>
      </c>
      <c r="Q18" s="227">
        <f t="shared" si="5"/>
        <v>6</v>
      </c>
      <c r="R18" s="234">
        <f t="shared" si="7"/>
        <v>-0.17647058823529413</v>
      </c>
      <c r="S18" s="235">
        <f t="shared" si="6"/>
        <v>-4.5454545454545456E-2</v>
      </c>
      <c r="T18" s="235">
        <f t="shared" si="6"/>
        <v>0.35294117647058826</v>
      </c>
      <c r="U18" s="235">
        <f t="shared" si="6"/>
        <v>-8.1395348837209308E-2</v>
      </c>
      <c r="V18" s="236">
        <f t="shared" si="6"/>
        <v>0.31578947368421051</v>
      </c>
    </row>
    <row r="19" spans="1:22" s="1" customFormat="1" ht="30" customHeight="1">
      <c r="A19" s="164" t="s">
        <v>33</v>
      </c>
      <c r="B19" s="201" t="s">
        <v>56</v>
      </c>
      <c r="C19" s="207">
        <v>76</v>
      </c>
      <c r="D19" s="208">
        <v>68</v>
      </c>
      <c r="E19" s="208">
        <v>237</v>
      </c>
      <c r="F19" s="208">
        <v>1881</v>
      </c>
      <c r="G19" s="209">
        <v>192</v>
      </c>
      <c r="H19" s="218">
        <v>73</v>
      </c>
      <c r="I19" s="210">
        <v>69</v>
      </c>
      <c r="J19" s="210">
        <v>217</v>
      </c>
      <c r="K19" s="210">
        <v>1994</v>
      </c>
      <c r="L19" s="211">
        <v>194</v>
      </c>
      <c r="M19" s="225">
        <f t="shared" si="1"/>
        <v>3</v>
      </c>
      <c r="N19" s="226">
        <f t="shared" si="2"/>
        <v>-1</v>
      </c>
      <c r="O19" s="226">
        <f t="shared" si="3"/>
        <v>20</v>
      </c>
      <c r="P19" s="226">
        <f t="shared" si="4"/>
        <v>-113</v>
      </c>
      <c r="Q19" s="227">
        <f t="shared" si="5"/>
        <v>-2</v>
      </c>
      <c r="R19" s="234">
        <f t="shared" si="7"/>
        <v>4.1095890410958902E-2</v>
      </c>
      <c r="S19" s="235">
        <f t="shared" si="6"/>
        <v>-1.4492753623188406E-2</v>
      </c>
      <c r="T19" s="235">
        <f t="shared" si="6"/>
        <v>9.2165898617511524E-2</v>
      </c>
      <c r="U19" s="235">
        <f t="shared" si="6"/>
        <v>-5.667001003009027E-2</v>
      </c>
      <c r="V19" s="236">
        <f t="shared" si="6"/>
        <v>-1.0309278350515464E-2</v>
      </c>
    </row>
    <row r="20" spans="1:22" s="1" customFormat="1" ht="30" customHeight="1">
      <c r="A20" s="164" t="s">
        <v>34</v>
      </c>
      <c r="B20" s="201" t="s">
        <v>56</v>
      </c>
      <c r="C20" s="207">
        <v>163</v>
      </c>
      <c r="D20" s="208">
        <v>664</v>
      </c>
      <c r="E20" s="208">
        <v>1558</v>
      </c>
      <c r="F20" s="208">
        <v>7226</v>
      </c>
      <c r="G20" s="209">
        <v>1586</v>
      </c>
      <c r="H20" s="218">
        <v>158</v>
      </c>
      <c r="I20" s="210">
        <v>617</v>
      </c>
      <c r="J20" s="210">
        <v>1483</v>
      </c>
      <c r="K20" s="210">
        <v>7380</v>
      </c>
      <c r="L20" s="211">
        <v>1557</v>
      </c>
      <c r="M20" s="225">
        <f t="shared" si="1"/>
        <v>5</v>
      </c>
      <c r="N20" s="226">
        <f t="shared" si="2"/>
        <v>47</v>
      </c>
      <c r="O20" s="226">
        <f t="shared" si="3"/>
        <v>75</v>
      </c>
      <c r="P20" s="226">
        <f t="shared" si="4"/>
        <v>-154</v>
      </c>
      <c r="Q20" s="227">
        <f t="shared" si="5"/>
        <v>29</v>
      </c>
      <c r="R20" s="234">
        <f t="shared" si="7"/>
        <v>3.1645569620253167E-2</v>
      </c>
      <c r="S20" s="235">
        <f t="shared" si="6"/>
        <v>7.6175040518638576E-2</v>
      </c>
      <c r="T20" s="235">
        <f t="shared" si="6"/>
        <v>5.0573162508428859E-2</v>
      </c>
      <c r="U20" s="235">
        <f t="shared" si="6"/>
        <v>-2.0867208672086721E-2</v>
      </c>
      <c r="V20" s="236">
        <f t="shared" si="6"/>
        <v>1.8625561978163133E-2</v>
      </c>
    </row>
    <row r="21" spans="1:22" s="1" customFormat="1" ht="30" customHeight="1">
      <c r="A21" s="164" t="s">
        <v>15</v>
      </c>
      <c r="B21" s="201" t="s">
        <v>54</v>
      </c>
      <c r="C21" s="207">
        <v>219</v>
      </c>
      <c r="D21" s="208">
        <v>69</v>
      </c>
      <c r="E21" s="208">
        <v>277</v>
      </c>
      <c r="F21" s="208">
        <v>1862</v>
      </c>
      <c r="G21" s="209">
        <v>185</v>
      </c>
      <c r="H21" s="218">
        <v>212</v>
      </c>
      <c r="I21" s="210">
        <v>67</v>
      </c>
      <c r="J21" s="210">
        <v>251</v>
      </c>
      <c r="K21" s="210">
        <v>1917</v>
      </c>
      <c r="L21" s="211">
        <v>184</v>
      </c>
      <c r="M21" s="225">
        <f t="shared" si="1"/>
        <v>7</v>
      </c>
      <c r="N21" s="226">
        <f t="shared" si="2"/>
        <v>2</v>
      </c>
      <c r="O21" s="226">
        <f t="shared" si="3"/>
        <v>26</v>
      </c>
      <c r="P21" s="226">
        <f t="shared" si="4"/>
        <v>-55</v>
      </c>
      <c r="Q21" s="227">
        <f t="shared" si="5"/>
        <v>1</v>
      </c>
      <c r="R21" s="234">
        <f t="shared" si="7"/>
        <v>3.3018867924528301E-2</v>
      </c>
      <c r="S21" s="235">
        <f t="shared" si="7"/>
        <v>2.9850746268656716E-2</v>
      </c>
      <c r="T21" s="235">
        <f t="shared" ref="T21:U49" si="8">IFERROR(+O21/J21,0)</f>
        <v>0.10358565737051793</v>
      </c>
      <c r="U21" s="235">
        <f t="shared" si="8"/>
        <v>-2.8690662493479395E-2</v>
      </c>
      <c r="V21" s="236">
        <f t="shared" ref="V21:V49" si="9">IFERROR(+Q21/L21,0)</f>
        <v>5.434782608695652E-3</v>
      </c>
    </row>
    <row r="22" spans="1:22" s="1" customFormat="1" ht="30" customHeight="1">
      <c r="A22" s="164" t="s">
        <v>16</v>
      </c>
      <c r="B22" s="201" t="s">
        <v>55</v>
      </c>
      <c r="C22" s="207">
        <v>58</v>
      </c>
      <c r="D22" s="210">
        <v>15</v>
      </c>
      <c r="E22" s="208">
        <v>111</v>
      </c>
      <c r="F22" s="208">
        <v>203</v>
      </c>
      <c r="G22" s="209">
        <v>20</v>
      </c>
      <c r="H22" s="218">
        <v>58</v>
      </c>
      <c r="I22" s="210">
        <v>19</v>
      </c>
      <c r="J22" s="210">
        <v>79</v>
      </c>
      <c r="K22" s="210">
        <v>187</v>
      </c>
      <c r="L22" s="211">
        <v>20</v>
      </c>
      <c r="M22" s="225">
        <f t="shared" si="1"/>
        <v>0</v>
      </c>
      <c r="N22" s="226">
        <f t="shared" si="2"/>
        <v>-4</v>
      </c>
      <c r="O22" s="226">
        <f t="shared" si="3"/>
        <v>32</v>
      </c>
      <c r="P22" s="226">
        <f t="shared" si="4"/>
        <v>16</v>
      </c>
      <c r="Q22" s="227">
        <f t="shared" si="5"/>
        <v>0</v>
      </c>
      <c r="R22" s="234">
        <f t="shared" si="7"/>
        <v>0</v>
      </c>
      <c r="S22" s="235">
        <f t="shared" si="7"/>
        <v>-0.21052631578947367</v>
      </c>
      <c r="T22" s="235">
        <f t="shared" si="8"/>
        <v>0.4050632911392405</v>
      </c>
      <c r="U22" s="235">
        <f t="shared" si="8"/>
        <v>8.5561497326203204E-2</v>
      </c>
      <c r="V22" s="236">
        <f t="shared" si="9"/>
        <v>0</v>
      </c>
    </row>
    <row r="23" spans="1:22" s="1" customFormat="1" ht="30" customHeight="1">
      <c r="A23" s="164" t="s">
        <v>17</v>
      </c>
      <c r="B23" s="201" t="s">
        <v>55</v>
      </c>
      <c r="C23" s="207">
        <v>22</v>
      </c>
      <c r="D23" s="208">
        <v>5</v>
      </c>
      <c r="E23" s="208">
        <v>28</v>
      </c>
      <c r="F23" s="208">
        <v>114</v>
      </c>
      <c r="G23" s="209">
        <v>5</v>
      </c>
      <c r="H23" s="218">
        <v>23</v>
      </c>
      <c r="I23" s="210">
        <v>4</v>
      </c>
      <c r="J23" s="210">
        <v>26</v>
      </c>
      <c r="K23" s="210">
        <v>117</v>
      </c>
      <c r="L23" s="211">
        <v>6</v>
      </c>
      <c r="M23" s="225">
        <f t="shared" si="1"/>
        <v>-1</v>
      </c>
      <c r="N23" s="226">
        <f t="shared" si="2"/>
        <v>1</v>
      </c>
      <c r="O23" s="226">
        <f t="shared" si="3"/>
        <v>2</v>
      </c>
      <c r="P23" s="226">
        <f t="shared" si="4"/>
        <v>-3</v>
      </c>
      <c r="Q23" s="227">
        <f t="shared" si="5"/>
        <v>-1</v>
      </c>
      <c r="R23" s="234">
        <f t="shared" si="7"/>
        <v>-4.3478260869565216E-2</v>
      </c>
      <c r="S23" s="235">
        <f t="shared" si="7"/>
        <v>0.25</v>
      </c>
      <c r="T23" s="235">
        <f t="shared" si="8"/>
        <v>7.6923076923076927E-2</v>
      </c>
      <c r="U23" s="235">
        <f t="shared" si="8"/>
        <v>-2.564102564102564E-2</v>
      </c>
      <c r="V23" s="236">
        <f t="shared" si="9"/>
        <v>-0.16666666666666666</v>
      </c>
    </row>
    <row r="24" spans="1:22" s="1" customFormat="1" ht="30" customHeight="1">
      <c r="A24" s="164" t="s">
        <v>18</v>
      </c>
      <c r="B24" s="201" t="s">
        <v>55</v>
      </c>
      <c r="C24" s="207">
        <v>8</v>
      </c>
      <c r="D24" s="208">
        <v>10</v>
      </c>
      <c r="E24" s="208">
        <v>19</v>
      </c>
      <c r="F24" s="208">
        <v>165</v>
      </c>
      <c r="G24" s="209">
        <v>7</v>
      </c>
      <c r="H24" s="218">
        <v>8</v>
      </c>
      <c r="I24" s="210">
        <v>11</v>
      </c>
      <c r="J24" s="210">
        <v>14</v>
      </c>
      <c r="K24" s="210">
        <v>172</v>
      </c>
      <c r="L24" s="211">
        <v>9</v>
      </c>
      <c r="M24" s="225">
        <f t="shared" si="1"/>
        <v>0</v>
      </c>
      <c r="N24" s="226">
        <f t="shared" si="2"/>
        <v>-1</v>
      </c>
      <c r="O24" s="226">
        <f t="shared" si="3"/>
        <v>5</v>
      </c>
      <c r="P24" s="226">
        <f t="shared" si="4"/>
        <v>-7</v>
      </c>
      <c r="Q24" s="227">
        <f t="shared" si="5"/>
        <v>-2</v>
      </c>
      <c r="R24" s="234">
        <f t="shared" si="7"/>
        <v>0</v>
      </c>
      <c r="S24" s="235">
        <f t="shared" si="7"/>
        <v>-9.0909090909090912E-2</v>
      </c>
      <c r="T24" s="235">
        <f t="shared" si="8"/>
        <v>0.35714285714285715</v>
      </c>
      <c r="U24" s="235">
        <f t="shared" si="8"/>
        <v>-4.0697674418604654E-2</v>
      </c>
      <c r="V24" s="236">
        <f t="shared" si="9"/>
        <v>-0.22222222222222221</v>
      </c>
    </row>
    <row r="25" spans="1:22" s="1" customFormat="1" ht="30" customHeight="1">
      <c r="A25" s="164" t="s">
        <v>114</v>
      </c>
      <c r="B25" s="201" t="s">
        <v>56</v>
      </c>
      <c r="C25" s="207">
        <v>1130</v>
      </c>
      <c r="D25" s="208">
        <v>1493</v>
      </c>
      <c r="E25" s="208">
        <v>2909</v>
      </c>
      <c r="F25" s="208">
        <v>19192</v>
      </c>
      <c r="G25" s="209">
        <v>3680</v>
      </c>
      <c r="H25" s="218">
        <v>1088</v>
      </c>
      <c r="I25" s="210">
        <v>1435</v>
      </c>
      <c r="J25" s="210">
        <v>2644</v>
      </c>
      <c r="K25" s="210">
        <v>19273</v>
      </c>
      <c r="L25" s="211">
        <v>3622</v>
      </c>
      <c r="M25" s="225">
        <f t="shared" si="1"/>
        <v>42</v>
      </c>
      <c r="N25" s="226">
        <f t="shared" si="2"/>
        <v>58</v>
      </c>
      <c r="O25" s="226">
        <f t="shared" si="3"/>
        <v>265</v>
      </c>
      <c r="P25" s="226">
        <f t="shared" si="4"/>
        <v>-81</v>
      </c>
      <c r="Q25" s="227">
        <f t="shared" si="5"/>
        <v>58</v>
      </c>
      <c r="R25" s="234">
        <f t="shared" si="7"/>
        <v>3.860294117647059E-2</v>
      </c>
      <c r="S25" s="235">
        <f t="shared" si="7"/>
        <v>4.0418118466898953E-2</v>
      </c>
      <c r="T25" s="235">
        <f t="shared" si="8"/>
        <v>0.1002269288956127</v>
      </c>
      <c r="U25" s="235">
        <f t="shared" si="8"/>
        <v>-4.2027707155087432E-3</v>
      </c>
      <c r="V25" s="236">
        <f t="shared" si="9"/>
        <v>1.601325234676974E-2</v>
      </c>
    </row>
    <row r="26" spans="1:22" s="1" customFormat="1" ht="30" customHeight="1">
      <c r="A26" s="164" t="s">
        <v>127</v>
      </c>
      <c r="B26" s="201" t="s">
        <v>54</v>
      </c>
      <c r="C26" s="207">
        <v>94</v>
      </c>
      <c r="D26" s="208">
        <v>25</v>
      </c>
      <c r="E26" s="208">
        <v>64</v>
      </c>
      <c r="F26" s="208">
        <v>502</v>
      </c>
      <c r="G26" s="209">
        <v>65</v>
      </c>
      <c r="H26" s="218">
        <v>93</v>
      </c>
      <c r="I26" s="210">
        <v>29</v>
      </c>
      <c r="J26" s="210">
        <v>60</v>
      </c>
      <c r="K26" s="210">
        <v>508</v>
      </c>
      <c r="L26" s="211">
        <v>60</v>
      </c>
      <c r="M26" s="225">
        <f t="shared" si="1"/>
        <v>1</v>
      </c>
      <c r="N26" s="226">
        <f t="shared" si="2"/>
        <v>-4</v>
      </c>
      <c r="O26" s="226">
        <f t="shared" si="3"/>
        <v>4</v>
      </c>
      <c r="P26" s="226">
        <f t="shared" si="4"/>
        <v>-6</v>
      </c>
      <c r="Q26" s="227">
        <f t="shared" si="5"/>
        <v>5</v>
      </c>
      <c r="R26" s="234">
        <f t="shared" si="7"/>
        <v>1.0752688172043012E-2</v>
      </c>
      <c r="S26" s="235">
        <f t="shared" si="7"/>
        <v>-0.13793103448275862</v>
      </c>
      <c r="T26" s="235">
        <f t="shared" si="8"/>
        <v>6.6666666666666666E-2</v>
      </c>
      <c r="U26" s="235">
        <f t="shared" si="8"/>
        <v>-1.1811023622047244E-2</v>
      </c>
      <c r="V26" s="236">
        <f t="shared" si="9"/>
        <v>8.3333333333333329E-2</v>
      </c>
    </row>
    <row r="27" spans="1:22" s="1" customFormat="1" ht="30" customHeight="1">
      <c r="A27" s="164" t="s">
        <v>35</v>
      </c>
      <c r="B27" s="201" t="s">
        <v>56</v>
      </c>
      <c r="C27" s="207">
        <v>108</v>
      </c>
      <c r="D27" s="208">
        <v>660</v>
      </c>
      <c r="E27" s="208">
        <v>1099</v>
      </c>
      <c r="F27" s="210">
        <v>5831</v>
      </c>
      <c r="G27" s="209">
        <v>1932</v>
      </c>
      <c r="H27" s="218">
        <v>99</v>
      </c>
      <c r="I27" s="210">
        <v>664</v>
      </c>
      <c r="J27" s="210">
        <v>1086</v>
      </c>
      <c r="K27" s="210">
        <v>5910</v>
      </c>
      <c r="L27" s="211">
        <v>1883</v>
      </c>
      <c r="M27" s="225">
        <f t="shared" si="1"/>
        <v>9</v>
      </c>
      <c r="N27" s="226">
        <f t="shared" si="2"/>
        <v>-4</v>
      </c>
      <c r="O27" s="226">
        <f t="shared" si="3"/>
        <v>13</v>
      </c>
      <c r="P27" s="226">
        <f t="shared" si="4"/>
        <v>-79</v>
      </c>
      <c r="Q27" s="227">
        <f t="shared" si="5"/>
        <v>49</v>
      </c>
      <c r="R27" s="234">
        <f t="shared" si="7"/>
        <v>9.0909090909090912E-2</v>
      </c>
      <c r="S27" s="235">
        <f t="shared" si="7"/>
        <v>-6.024096385542169E-3</v>
      </c>
      <c r="T27" s="235">
        <f t="shared" si="8"/>
        <v>1.1970534069981584E-2</v>
      </c>
      <c r="U27" s="235">
        <f t="shared" si="8"/>
        <v>-1.3367174280879865E-2</v>
      </c>
      <c r="V27" s="236">
        <f t="shared" si="9"/>
        <v>2.6022304832713755E-2</v>
      </c>
    </row>
    <row r="28" spans="1:22" s="1" customFormat="1" ht="30" customHeight="1">
      <c r="A28" s="164" t="s">
        <v>36</v>
      </c>
      <c r="B28" s="201" t="s">
        <v>54</v>
      </c>
      <c r="C28" s="207">
        <v>154</v>
      </c>
      <c r="D28" s="208">
        <v>74</v>
      </c>
      <c r="E28" s="208">
        <v>205</v>
      </c>
      <c r="F28" s="208">
        <v>1090</v>
      </c>
      <c r="G28" s="209">
        <v>104</v>
      </c>
      <c r="H28" s="218">
        <v>168</v>
      </c>
      <c r="I28" s="210">
        <v>75</v>
      </c>
      <c r="J28" s="210">
        <v>177</v>
      </c>
      <c r="K28" s="210">
        <v>1086</v>
      </c>
      <c r="L28" s="211">
        <v>106</v>
      </c>
      <c r="M28" s="225">
        <f t="shared" si="1"/>
        <v>-14</v>
      </c>
      <c r="N28" s="226">
        <f t="shared" si="2"/>
        <v>-1</v>
      </c>
      <c r="O28" s="226">
        <f t="shared" si="3"/>
        <v>28</v>
      </c>
      <c r="P28" s="226">
        <f t="shared" si="4"/>
        <v>4</v>
      </c>
      <c r="Q28" s="227">
        <f t="shared" si="5"/>
        <v>-2</v>
      </c>
      <c r="R28" s="234">
        <f t="shared" si="7"/>
        <v>-8.3333333333333329E-2</v>
      </c>
      <c r="S28" s="235">
        <f t="shared" si="7"/>
        <v>-1.3333333333333334E-2</v>
      </c>
      <c r="T28" s="235">
        <f t="shared" si="8"/>
        <v>0.15819209039548024</v>
      </c>
      <c r="U28" s="235">
        <f t="shared" si="8"/>
        <v>3.6832412523020259E-3</v>
      </c>
      <c r="V28" s="236">
        <f t="shared" si="9"/>
        <v>-1.8867924528301886E-2</v>
      </c>
    </row>
    <row r="29" spans="1:22" s="1" customFormat="1" ht="30" customHeight="1">
      <c r="A29" s="164" t="s">
        <v>19</v>
      </c>
      <c r="B29" s="201" t="s">
        <v>54</v>
      </c>
      <c r="C29" s="207">
        <v>110</v>
      </c>
      <c r="D29" s="208">
        <v>40</v>
      </c>
      <c r="E29" s="210">
        <v>115</v>
      </c>
      <c r="F29" s="208">
        <v>322</v>
      </c>
      <c r="G29" s="209">
        <v>48</v>
      </c>
      <c r="H29" s="218">
        <v>118</v>
      </c>
      <c r="I29" s="210">
        <v>33</v>
      </c>
      <c r="J29" s="210">
        <v>109</v>
      </c>
      <c r="K29" s="210">
        <v>309</v>
      </c>
      <c r="L29" s="211">
        <v>48</v>
      </c>
      <c r="M29" s="225">
        <f t="shared" si="1"/>
        <v>-8</v>
      </c>
      <c r="N29" s="226">
        <f t="shared" si="2"/>
        <v>7</v>
      </c>
      <c r="O29" s="226">
        <f t="shared" si="3"/>
        <v>6</v>
      </c>
      <c r="P29" s="226">
        <f t="shared" si="4"/>
        <v>13</v>
      </c>
      <c r="Q29" s="227">
        <f t="shared" si="5"/>
        <v>0</v>
      </c>
      <c r="R29" s="234">
        <f t="shared" si="7"/>
        <v>-6.7796610169491525E-2</v>
      </c>
      <c r="S29" s="235">
        <f t="shared" si="7"/>
        <v>0.21212121212121213</v>
      </c>
      <c r="T29" s="235">
        <f t="shared" si="8"/>
        <v>5.5045871559633031E-2</v>
      </c>
      <c r="U29" s="235">
        <f t="shared" si="8"/>
        <v>4.2071197411003236E-2</v>
      </c>
      <c r="V29" s="236">
        <f t="shared" si="9"/>
        <v>0</v>
      </c>
    </row>
    <row r="30" spans="1:22" s="1" customFormat="1" ht="30" customHeight="1">
      <c r="A30" s="164" t="s">
        <v>37</v>
      </c>
      <c r="B30" s="201" t="s">
        <v>54</v>
      </c>
      <c r="C30" s="207">
        <v>71</v>
      </c>
      <c r="D30" s="208">
        <v>74</v>
      </c>
      <c r="E30" s="208">
        <v>374</v>
      </c>
      <c r="F30" s="208">
        <v>280</v>
      </c>
      <c r="G30" s="209">
        <v>62</v>
      </c>
      <c r="H30" s="218">
        <v>76</v>
      </c>
      <c r="I30" s="210">
        <v>50</v>
      </c>
      <c r="J30" s="210">
        <v>346</v>
      </c>
      <c r="K30" s="210">
        <v>289</v>
      </c>
      <c r="L30" s="211">
        <v>59</v>
      </c>
      <c r="M30" s="225">
        <f t="shared" si="1"/>
        <v>-5</v>
      </c>
      <c r="N30" s="226">
        <f t="shared" si="2"/>
        <v>24</v>
      </c>
      <c r="O30" s="226">
        <f t="shared" si="3"/>
        <v>28</v>
      </c>
      <c r="P30" s="226">
        <f t="shared" si="4"/>
        <v>-9</v>
      </c>
      <c r="Q30" s="227">
        <f t="shared" si="5"/>
        <v>3</v>
      </c>
      <c r="R30" s="234">
        <f t="shared" si="7"/>
        <v>-6.5789473684210523E-2</v>
      </c>
      <c r="S30" s="235">
        <f t="shared" si="7"/>
        <v>0.48</v>
      </c>
      <c r="T30" s="235">
        <f t="shared" si="8"/>
        <v>8.0924855491329481E-2</v>
      </c>
      <c r="U30" s="235">
        <f t="shared" si="8"/>
        <v>-3.1141868512110725E-2</v>
      </c>
      <c r="V30" s="236">
        <f t="shared" si="9"/>
        <v>5.0847457627118647E-2</v>
      </c>
    </row>
    <row r="31" spans="1:22" s="1" customFormat="1" ht="30" customHeight="1">
      <c r="A31" s="164" t="s">
        <v>38</v>
      </c>
      <c r="B31" s="201" t="s">
        <v>54</v>
      </c>
      <c r="C31" s="207">
        <v>52</v>
      </c>
      <c r="D31" s="208">
        <v>112</v>
      </c>
      <c r="E31" s="208">
        <v>62</v>
      </c>
      <c r="F31" s="208">
        <v>495</v>
      </c>
      <c r="G31" s="209">
        <v>54</v>
      </c>
      <c r="H31" s="218">
        <v>48</v>
      </c>
      <c r="I31" s="210">
        <v>116</v>
      </c>
      <c r="J31" s="210">
        <v>53</v>
      </c>
      <c r="K31" s="210">
        <v>494</v>
      </c>
      <c r="L31" s="211">
        <v>55</v>
      </c>
      <c r="M31" s="225">
        <f t="shared" si="1"/>
        <v>4</v>
      </c>
      <c r="N31" s="226">
        <f t="shared" si="2"/>
        <v>-4</v>
      </c>
      <c r="O31" s="226">
        <f t="shared" si="3"/>
        <v>9</v>
      </c>
      <c r="P31" s="226">
        <f t="shared" si="4"/>
        <v>1</v>
      </c>
      <c r="Q31" s="227">
        <f t="shared" si="5"/>
        <v>-1</v>
      </c>
      <c r="R31" s="234">
        <f t="shared" si="7"/>
        <v>8.3333333333333329E-2</v>
      </c>
      <c r="S31" s="235">
        <f t="shared" si="7"/>
        <v>-3.4482758620689655E-2</v>
      </c>
      <c r="T31" s="235">
        <f t="shared" si="8"/>
        <v>0.16981132075471697</v>
      </c>
      <c r="U31" s="235">
        <f t="shared" si="8"/>
        <v>2.0242914979757085E-3</v>
      </c>
      <c r="V31" s="236">
        <f t="shared" si="9"/>
        <v>-1.8181818181818181E-2</v>
      </c>
    </row>
    <row r="32" spans="1:22" s="1" customFormat="1" ht="30" customHeight="1">
      <c r="A32" s="164" t="s">
        <v>39</v>
      </c>
      <c r="B32" s="201" t="s">
        <v>56</v>
      </c>
      <c r="C32" s="207">
        <v>149</v>
      </c>
      <c r="D32" s="208">
        <v>519</v>
      </c>
      <c r="E32" s="208">
        <v>867</v>
      </c>
      <c r="F32" s="208">
        <v>7372</v>
      </c>
      <c r="G32" s="209">
        <v>1339</v>
      </c>
      <c r="H32" s="218">
        <v>148</v>
      </c>
      <c r="I32" s="210">
        <v>520</v>
      </c>
      <c r="J32" s="210">
        <v>854</v>
      </c>
      <c r="K32" s="210">
        <v>7489</v>
      </c>
      <c r="L32" s="211">
        <v>1303</v>
      </c>
      <c r="M32" s="225">
        <f t="shared" si="1"/>
        <v>1</v>
      </c>
      <c r="N32" s="226">
        <f t="shared" si="2"/>
        <v>-1</v>
      </c>
      <c r="O32" s="226">
        <f t="shared" si="3"/>
        <v>13</v>
      </c>
      <c r="P32" s="226">
        <f t="shared" si="4"/>
        <v>-117</v>
      </c>
      <c r="Q32" s="227">
        <f t="shared" si="5"/>
        <v>36</v>
      </c>
      <c r="R32" s="234">
        <f t="shared" si="7"/>
        <v>6.7567567567567571E-3</v>
      </c>
      <c r="S32" s="235">
        <f t="shared" si="7"/>
        <v>-1.9230769230769232E-3</v>
      </c>
      <c r="T32" s="235">
        <f t="shared" si="8"/>
        <v>1.5222482435597189E-2</v>
      </c>
      <c r="U32" s="235">
        <f t="shared" si="8"/>
        <v>-1.5622913606623047E-2</v>
      </c>
      <c r="V32" s="236">
        <f t="shared" si="9"/>
        <v>2.7628549501151189E-2</v>
      </c>
    </row>
    <row r="33" spans="1:22" s="1" customFormat="1" ht="30" customHeight="1">
      <c r="A33" s="164" t="s">
        <v>40</v>
      </c>
      <c r="B33" s="201" t="s">
        <v>56</v>
      </c>
      <c r="C33" s="207">
        <v>75</v>
      </c>
      <c r="D33" s="208">
        <v>677</v>
      </c>
      <c r="E33" s="208">
        <v>453</v>
      </c>
      <c r="F33" s="208">
        <v>3478</v>
      </c>
      <c r="G33" s="209">
        <v>629</v>
      </c>
      <c r="H33" s="218">
        <v>67</v>
      </c>
      <c r="I33" s="210">
        <v>617</v>
      </c>
      <c r="J33" s="210">
        <v>429</v>
      </c>
      <c r="K33" s="210">
        <v>3430</v>
      </c>
      <c r="L33" s="211">
        <v>629</v>
      </c>
      <c r="M33" s="225">
        <f t="shared" si="1"/>
        <v>8</v>
      </c>
      <c r="N33" s="226">
        <f t="shared" si="2"/>
        <v>60</v>
      </c>
      <c r="O33" s="226">
        <f t="shared" si="3"/>
        <v>24</v>
      </c>
      <c r="P33" s="226">
        <f t="shared" si="4"/>
        <v>48</v>
      </c>
      <c r="Q33" s="227">
        <f t="shared" si="5"/>
        <v>0</v>
      </c>
      <c r="R33" s="234">
        <f t="shared" si="7"/>
        <v>0.11940298507462686</v>
      </c>
      <c r="S33" s="235">
        <f t="shared" si="7"/>
        <v>9.7244732576985418E-2</v>
      </c>
      <c r="T33" s="235">
        <f t="shared" si="8"/>
        <v>5.5944055944055944E-2</v>
      </c>
      <c r="U33" s="235">
        <f t="shared" si="8"/>
        <v>1.3994169096209912E-2</v>
      </c>
      <c r="V33" s="236">
        <f t="shared" si="9"/>
        <v>0</v>
      </c>
    </row>
    <row r="34" spans="1:22" s="1" customFormat="1" ht="30" customHeight="1">
      <c r="A34" s="164" t="s">
        <v>41</v>
      </c>
      <c r="B34" s="201" t="s">
        <v>54</v>
      </c>
      <c r="C34" s="207">
        <v>137</v>
      </c>
      <c r="D34" s="208">
        <v>21</v>
      </c>
      <c r="E34" s="208">
        <v>86</v>
      </c>
      <c r="F34" s="208">
        <v>248</v>
      </c>
      <c r="G34" s="209">
        <v>52</v>
      </c>
      <c r="H34" s="218">
        <v>161</v>
      </c>
      <c r="I34" s="210">
        <v>18</v>
      </c>
      <c r="J34" s="210">
        <v>70</v>
      </c>
      <c r="K34" s="210">
        <v>244</v>
      </c>
      <c r="L34" s="211">
        <v>49</v>
      </c>
      <c r="M34" s="225">
        <f t="shared" si="1"/>
        <v>-24</v>
      </c>
      <c r="N34" s="226">
        <f t="shared" si="2"/>
        <v>3</v>
      </c>
      <c r="O34" s="226">
        <f t="shared" si="3"/>
        <v>16</v>
      </c>
      <c r="P34" s="226">
        <f t="shared" si="4"/>
        <v>4</v>
      </c>
      <c r="Q34" s="227">
        <f t="shared" si="5"/>
        <v>3</v>
      </c>
      <c r="R34" s="234">
        <f t="shared" si="7"/>
        <v>-0.14906832298136646</v>
      </c>
      <c r="S34" s="235">
        <f t="shared" si="7"/>
        <v>0.16666666666666666</v>
      </c>
      <c r="T34" s="235">
        <f t="shared" si="8"/>
        <v>0.22857142857142856</v>
      </c>
      <c r="U34" s="235">
        <f t="shared" si="8"/>
        <v>1.6393442622950821E-2</v>
      </c>
      <c r="V34" s="236">
        <f t="shared" si="9"/>
        <v>6.1224489795918366E-2</v>
      </c>
    </row>
    <row r="35" spans="1:22" s="1" customFormat="1" ht="30" customHeight="1">
      <c r="A35" s="164" t="s">
        <v>20</v>
      </c>
      <c r="B35" s="201" t="s">
        <v>56</v>
      </c>
      <c r="C35" s="207">
        <v>49</v>
      </c>
      <c r="D35" s="208">
        <v>423</v>
      </c>
      <c r="E35" s="208">
        <v>192</v>
      </c>
      <c r="F35" s="208">
        <v>2079</v>
      </c>
      <c r="G35" s="209">
        <v>276</v>
      </c>
      <c r="H35" s="218">
        <v>54</v>
      </c>
      <c r="I35" s="210">
        <v>407</v>
      </c>
      <c r="J35" s="210">
        <v>180</v>
      </c>
      <c r="K35" s="210">
        <v>2147</v>
      </c>
      <c r="L35" s="211">
        <v>284</v>
      </c>
      <c r="M35" s="225">
        <f t="shared" si="1"/>
        <v>-5</v>
      </c>
      <c r="N35" s="226">
        <f t="shared" si="2"/>
        <v>16</v>
      </c>
      <c r="O35" s="226">
        <f t="shared" si="3"/>
        <v>12</v>
      </c>
      <c r="P35" s="226">
        <f t="shared" si="4"/>
        <v>-68</v>
      </c>
      <c r="Q35" s="227">
        <f t="shared" si="5"/>
        <v>-8</v>
      </c>
      <c r="R35" s="234">
        <f t="shared" si="7"/>
        <v>-9.2592592592592587E-2</v>
      </c>
      <c r="S35" s="235">
        <f t="shared" si="7"/>
        <v>3.9312039312039311E-2</v>
      </c>
      <c r="T35" s="235">
        <f t="shared" si="8"/>
        <v>6.6666666666666666E-2</v>
      </c>
      <c r="U35" s="235">
        <f t="shared" si="8"/>
        <v>-3.1672100605496044E-2</v>
      </c>
      <c r="V35" s="236">
        <f t="shared" si="9"/>
        <v>-2.8169014084507043E-2</v>
      </c>
    </row>
    <row r="36" spans="1:22" s="1" customFormat="1" ht="30" customHeight="1">
      <c r="A36" s="164" t="s">
        <v>21</v>
      </c>
      <c r="B36" s="201" t="s">
        <v>56</v>
      </c>
      <c r="C36" s="207">
        <v>120</v>
      </c>
      <c r="D36" s="208">
        <v>704</v>
      </c>
      <c r="E36" s="208">
        <v>909</v>
      </c>
      <c r="F36" s="208">
        <v>7912</v>
      </c>
      <c r="G36" s="209">
        <v>1726</v>
      </c>
      <c r="H36" s="218">
        <v>118</v>
      </c>
      <c r="I36" s="210">
        <v>633</v>
      </c>
      <c r="J36" s="210">
        <v>867</v>
      </c>
      <c r="K36" s="210">
        <v>7951</v>
      </c>
      <c r="L36" s="211">
        <v>1696</v>
      </c>
      <c r="M36" s="225">
        <f t="shared" si="1"/>
        <v>2</v>
      </c>
      <c r="N36" s="226">
        <f t="shared" si="2"/>
        <v>71</v>
      </c>
      <c r="O36" s="226">
        <f t="shared" si="3"/>
        <v>42</v>
      </c>
      <c r="P36" s="226">
        <f t="shared" si="4"/>
        <v>-39</v>
      </c>
      <c r="Q36" s="227">
        <f t="shared" si="5"/>
        <v>30</v>
      </c>
      <c r="R36" s="234">
        <f t="shared" si="7"/>
        <v>1.6949152542372881E-2</v>
      </c>
      <c r="S36" s="235">
        <f t="shared" si="7"/>
        <v>0.11216429699842022</v>
      </c>
      <c r="T36" s="235">
        <f t="shared" si="8"/>
        <v>4.8442906574394463E-2</v>
      </c>
      <c r="U36" s="235">
        <f t="shared" si="8"/>
        <v>-4.9050433907684571E-3</v>
      </c>
      <c r="V36" s="236">
        <f t="shared" si="9"/>
        <v>1.7688679245283018E-2</v>
      </c>
    </row>
    <row r="37" spans="1:22" s="1" customFormat="1" ht="30" customHeight="1">
      <c r="A37" s="164" t="s">
        <v>128</v>
      </c>
      <c r="B37" s="201" t="s">
        <v>56</v>
      </c>
      <c r="C37" s="207">
        <v>972</v>
      </c>
      <c r="D37" s="208">
        <v>417</v>
      </c>
      <c r="E37" s="208">
        <v>1108</v>
      </c>
      <c r="F37" s="208">
        <v>5430</v>
      </c>
      <c r="G37" s="209">
        <v>1047</v>
      </c>
      <c r="H37" s="218">
        <v>893</v>
      </c>
      <c r="I37" s="210">
        <v>424</v>
      </c>
      <c r="J37" s="210">
        <v>949</v>
      </c>
      <c r="K37" s="210">
        <v>5422</v>
      </c>
      <c r="L37" s="211">
        <v>1072</v>
      </c>
      <c r="M37" s="225">
        <f t="shared" si="1"/>
        <v>79</v>
      </c>
      <c r="N37" s="226">
        <f t="shared" si="2"/>
        <v>-7</v>
      </c>
      <c r="O37" s="226">
        <f t="shared" si="3"/>
        <v>159</v>
      </c>
      <c r="P37" s="226">
        <f t="shared" si="4"/>
        <v>8</v>
      </c>
      <c r="Q37" s="227">
        <f t="shared" si="5"/>
        <v>-25</v>
      </c>
      <c r="R37" s="234">
        <f t="shared" si="7"/>
        <v>8.8465845464725648E-2</v>
      </c>
      <c r="S37" s="235">
        <f t="shared" si="7"/>
        <v>-1.6509433962264151E-2</v>
      </c>
      <c r="T37" s="235">
        <f t="shared" si="8"/>
        <v>0.16754478398314016</v>
      </c>
      <c r="U37" s="235">
        <f t="shared" si="8"/>
        <v>1.4754703061600886E-3</v>
      </c>
      <c r="V37" s="236">
        <f t="shared" si="9"/>
        <v>-2.3320895522388061E-2</v>
      </c>
    </row>
    <row r="38" spans="1:22" s="1" customFormat="1" ht="30" customHeight="1">
      <c r="A38" s="164" t="s">
        <v>42</v>
      </c>
      <c r="B38" s="201" t="s">
        <v>55</v>
      </c>
      <c r="C38" s="207">
        <v>74</v>
      </c>
      <c r="D38" s="208">
        <v>23</v>
      </c>
      <c r="E38" s="208">
        <v>77</v>
      </c>
      <c r="F38" s="208">
        <v>312</v>
      </c>
      <c r="G38" s="209">
        <v>42</v>
      </c>
      <c r="H38" s="218">
        <v>73</v>
      </c>
      <c r="I38" s="210">
        <v>25</v>
      </c>
      <c r="J38" s="210">
        <v>75</v>
      </c>
      <c r="K38" s="210">
        <v>311</v>
      </c>
      <c r="L38" s="211">
        <v>36</v>
      </c>
      <c r="M38" s="225">
        <f t="shared" si="1"/>
        <v>1</v>
      </c>
      <c r="N38" s="226">
        <f t="shared" si="2"/>
        <v>-2</v>
      </c>
      <c r="O38" s="226">
        <f t="shared" si="3"/>
        <v>2</v>
      </c>
      <c r="P38" s="226">
        <f t="shared" si="4"/>
        <v>1</v>
      </c>
      <c r="Q38" s="227">
        <f t="shared" si="5"/>
        <v>6</v>
      </c>
      <c r="R38" s="234">
        <f t="shared" si="7"/>
        <v>1.3698630136986301E-2</v>
      </c>
      <c r="S38" s="235">
        <f t="shared" si="7"/>
        <v>-0.08</v>
      </c>
      <c r="T38" s="235">
        <f t="shared" si="8"/>
        <v>2.6666666666666668E-2</v>
      </c>
      <c r="U38" s="235">
        <f t="shared" si="8"/>
        <v>3.2154340836012861E-3</v>
      </c>
      <c r="V38" s="236">
        <f t="shared" si="9"/>
        <v>0.16666666666666666</v>
      </c>
    </row>
    <row r="39" spans="1:22" s="1" customFormat="1" ht="30" customHeight="1">
      <c r="A39" s="164" t="s">
        <v>126</v>
      </c>
      <c r="B39" s="201" t="s">
        <v>55</v>
      </c>
      <c r="C39" s="207">
        <v>18</v>
      </c>
      <c r="D39" s="208">
        <v>5</v>
      </c>
      <c r="E39" s="208">
        <v>34</v>
      </c>
      <c r="F39" s="208">
        <v>184</v>
      </c>
      <c r="G39" s="209">
        <v>15</v>
      </c>
      <c r="H39" s="218">
        <v>16</v>
      </c>
      <c r="I39" s="210">
        <v>4</v>
      </c>
      <c r="J39" s="210">
        <v>32</v>
      </c>
      <c r="K39" s="210">
        <v>195</v>
      </c>
      <c r="L39" s="211">
        <v>19</v>
      </c>
      <c r="M39" s="225">
        <f t="shared" ref="M39" si="10">+C39-H39</f>
        <v>2</v>
      </c>
      <c r="N39" s="226">
        <f t="shared" ref="N39" si="11">+D39-I39</f>
        <v>1</v>
      </c>
      <c r="O39" s="226">
        <f t="shared" ref="O39" si="12">+E39-J39</f>
        <v>2</v>
      </c>
      <c r="P39" s="226">
        <f t="shared" ref="P39" si="13">+F39-K39</f>
        <v>-11</v>
      </c>
      <c r="Q39" s="227">
        <f t="shared" ref="Q39" si="14">+G39-L39</f>
        <v>-4</v>
      </c>
      <c r="R39" s="234">
        <f t="shared" ref="R39" si="15">IFERROR(+M39/H39,0)</f>
        <v>0.125</v>
      </c>
      <c r="S39" s="235">
        <f t="shared" ref="S39" si="16">IFERROR(+N39/I39,0)</f>
        <v>0.25</v>
      </c>
      <c r="T39" s="235">
        <f t="shared" ref="T39" si="17">IFERROR(+O39/J39,0)</f>
        <v>6.25E-2</v>
      </c>
      <c r="U39" s="235">
        <f t="shared" ref="U39" si="18">IFERROR(+P39/K39,0)</f>
        <v>-5.6410256410256411E-2</v>
      </c>
      <c r="V39" s="236">
        <f t="shared" ref="V39" si="19">IFERROR(+Q39/L39,0)</f>
        <v>-0.21052631578947367</v>
      </c>
    </row>
    <row r="40" spans="1:22" s="1" customFormat="1" ht="30" customHeight="1">
      <c r="A40" s="164" t="s">
        <v>22</v>
      </c>
      <c r="B40" s="201" t="s">
        <v>56</v>
      </c>
      <c r="C40" s="207">
        <v>63</v>
      </c>
      <c r="D40" s="208">
        <v>254</v>
      </c>
      <c r="E40" s="208">
        <v>581</v>
      </c>
      <c r="F40" s="208">
        <v>2259</v>
      </c>
      <c r="G40" s="209">
        <v>435</v>
      </c>
      <c r="H40" s="218">
        <v>57</v>
      </c>
      <c r="I40" s="210">
        <v>242</v>
      </c>
      <c r="J40" s="210">
        <v>563</v>
      </c>
      <c r="K40" s="210">
        <v>2295</v>
      </c>
      <c r="L40" s="211">
        <v>427</v>
      </c>
      <c r="M40" s="225">
        <f t="shared" si="1"/>
        <v>6</v>
      </c>
      <c r="N40" s="226">
        <f t="shared" si="2"/>
        <v>12</v>
      </c>
      <c r="O40" s="226">
        <f t="shared" si="3"/>
        <v>18</v>
      </c>
      <c r="P40" s="226">
        <f t="shared" si="4"/>
        <v>-36</v>
      </c>
      <c r="Q40" s="227">
        <f t="shared" si="5"/>
        <v>8</v>
      </c>
      <c r="R40" s="234">
        <f t="shared" si="7"/>
        <v>0.10526315789473684</v>
      </c>
      <c r="S40" s="235">
        <f t="shared" si="7"/>
        <v>4.9586776859504134E-2</v>
      </c>
      <c r="T40" s="235">
        <f t="shared" si="8"/>
        <v>3.1971580817051509E-2</v>
      </c>
      <c r="U40" s="235">
        <f t="shared" si="8"/>
        <v>-1.5686274509803921E-2</v>
      </c>
      <c r="V40" s="236">
        <f t="shared" si="9"/>
        <v>1.873536299765808E-2</v>
      </c>
    </row>
    <row r="41" spans="1:22" s="1" customFormat="1" ht="30" customHeight="1">
      <c r="A41" s="164" t="s">
        <v>43</v>
      </c>
      <c r="B41" s="201" t="s">
        <v>55</v>
      </c>
      <c r="C41" s="207">
        <v>47</v>
      </c>
      <c r="D41" s="208">
        <v>4</v>
      </c>
      <c r="E41" s="208">
        <v>24</v>
      </c>
      <c r="F41" s="208">
        <v>122</v>
      </c>
      <c r="G41" s="209">
        <v>11</v>
      </c>
      <c r="H41" s="218">
        <v>46</v>
      </c>
      <c r="I41" s="210">
        <v>2</v>
      </c>
      <c r="J41" s="210">
        <v>19</v>
      </c>
      <c r="K41" s="210">
        <v>131</v>
      </c>
      <c r="L41" s="211">
        <v>11</v>
      </c>
      <c r="M41" s="225">
        <f t="shared" si="1"/>
        <v>1</v>
      </c>
      <c r="N41" s="226">
        <f t="shared" si="2"/>
        <v>2</v>
      </c>
      <c r="O41" s="226">
        <f t="shared" si="3"/>
        <v>5</v>
      </c>
      <c r="P41" s="226">
        <f t="shared" si="4"/>
        <v>-9</v>
      </c>
      <c r="Q41" s="227">
        <f t="shared" si="5"/>
        <v>0</v>
      </c>
      <c r="R41" s="234">
        <f t="shared" si="7"/>
        <v>2.1739130434782608E-2</v>
      </c>
      <c r="S41" s="235">
        <f t="shared" si="7"/>
        <v>1</v>
      </c>
      <c r="T41" s="235">
        <f t="shared" si="8"/>
        <v>0.26315789473684209</v>
      </c>
      <c r="U41" s="235">
        <f t="shared" si="8"/>
        <v>-6.8702290076335881E-2</v>
      </c>
      <c r="V41" s="236">
        <f t="shared" si="9"/>
        <v>0</v>
      </c>
    </row>
    <row r="42" spans="1:22" s="1" customFormat="1" ht="30" customHeight="1">
      <c r="A42" s="164" t="s">
        <v>23</v>
      </c>
      <c r="B42" s="201" t="s">
        <v>54</v>
      </c>
      <c r="C42" s="207">
        <v>31</v>
      </c>
      <c r="D42" s="208">
        <v>69</v>
      </c>
      <c r="E42" s="208">
        <v>93</v>
      </c>
      <c r="F42" s="208">
        <v>1561</v>
      </c>
      <c r="G42" s="209">
        <v>106</v>
      </c>
      <c r="H42" s="218">
        <v>29</v>
      </c>
      <c r="I42" s="210">
        <v>74</v>
      </c>
      <c r="J42" s="210">
        <v>95</v>
      </c>
      <c r="K42" s="210">
        <v>1654</v>
      </c>
      <c r="L42" s="211">
        <v>118</v>
      </c>
      <c r="M42" s="225">
        <f t="shared" si="1"/>
        <v>2</v>
      </c>
      <c r="N42" s="226">
        <f t="shared" si="2"/>
        <v>-5</v>
      </c>
      <c r="O42" s="226">
        <f t="shared" si="3"/>
        <v>-2</v>
      </c>
      <c r="P42" s="226">
        <f t="shared" si="4"/>
        <v>-93</v>
      </c>
      <c r="Q42" s="227">
        <f t="shared" si="5"/>
        <v>-12</v>
      </c>
      <c r="R42" s="234">
        <f t="shared" si="7"/>
        <v>6.8965517241379309E-2</v>
      </c>
      <c r="S42" s="235">
        <f t="shared" si="7"/>
        <v>-6.7567567567567571E-2</v>
      </c>
      <c r="T42" s="235">
        <f t="shared" si="8"/>
        <v>-2.1052631578947368E-2</v>
      </c>
      <c r="U42" s="235">
        <f t="shared" si="8"/>
        <v>-5.6227327690447401E-2</v>
      </c>
      <c r="V42" s="236">
        <f t="shared" si="9"/>
        <v>-0.10169491525423729</v>
      </c>
    </row>
    <row r="43" spans="1:22" s="1" customFormat="1" ht="30" customHeight="1">
      <c r="A43" s="164" t="s">
        <v>44</v>
      </c>
      <c r="B43" s="201" t="s">
        <v>55</v>
      </c>
      <c r="C43" s="207">
        <v>15</v>
      </c>
      <c r="D43" s="208">
        <v>1</v>
      </c>
      <c r="E43" s="208">
        <v>8</v>
      </c>
      <c r="F43" s="208">
        <v>55</v>
      </c>
      <c r="G43" s="209">
        <v>6</v>
      </c>
      <c r="H43" s="218">
        <v>17</v>
      </c>
      <c r="I43" s="210">
        <v>0</v>
      </c>
      <c r="J43" s="210">
        <v>5</v>
      </c>
      <c r="K43" s="210">
        <v>52</v>
      </c>
      <c r="L43" s="211">
        <v>5</v>
      </c>
      <c r="M43" s="225">
        <f t="shared" si="1"/>
        <v>-2</v>
      </c>
      <c r="N43" s="226">
        <f t="shared" si="2"/>
        <v>1</v>
      </c>
      <c r="O43" s="226">
        <f t="shared" si="3"/>
        <v>3</v>
      </c>
      <c r="P43" s="226">
        <f t="shared" si="4"/>
        <v>3</v>
      </c>
      <c r="Q43" s="227">
        <f t="shared" si="5"/>
        <v>1</v>
      </c>
      <c r="R43" s="234">
        <f t="shared" si="7"/>
        <v>-0.11764705882352941</v>
      </c>
      <c r="S43" s="235">
        <f t="shared" si="7"/>
        <v>0</v>
      </c>
      <c r="T43" s="235">
        <f t="shared" si="8"/>
        <v>0.6</v>
      </c>
      <c r="U43" s="235">
        <f t="shared" si="8"/>
        <v>5.7692307692307696E-2</v>
      </c>
      <c r="V43" s="236">
        <f t="shared" si="9"/>
        <v>0.2</v>
      </c>
    </row>
    <row r="44" spans="1:22" s="1" customFormat="1" ht="30" customHeight="1">
      <c r="A44" s="164" t="s">
        <v>24</v>
      </c>
      <c r="B44" s="201" t="s">
        <v>54</v>
      </c>
      <c r="C44" s="207">
        <v>93</v>
      </c>
      <c r="D44" s="208">
        <v>20</v>
      </c>
      <c r="E44" s="208">
        <v>74</v>
      </c>
      <c r="F44" s="208">
        <v>453</v>
      </c>
      <c r="G44" s="209">
        <v>58</v>
      </c>
      <c r="H44" s="218">
        <v>88</v>
      </c>
      <c r="I44" s="210">
        <v>22</v>
      </c>
      <c r="J44" s="210">
        <v>53</v>
      </c>
      <c r="K44" s="210">
        <v>422</v>
      </c>
      <c r="L44" s="211">
        <v>57</v>
      </c>
      <c r="M44" s="225">
        <f t="shared" si="1"/>
        <v>5</v>
      </c>
      <c r="N44" s="226">
        <f t="shared" si="2"/>
        <v>-2</v>
      </c>
      <c r="O44" s="226">
        <f t="shared" si="3"/>
        <v>21</v>
      </c>
      <c r="P44" s="226">
        <f t="shared" si="4"/>
        <v>31</v>
      </c>
      <c r="Q44" s="227">
        <f t="shared" si="5"/>
        <v>1</v>
      </c>
      <c r="R44" s="234">
        <f t="shared" si="7"/>
        <v>5.6818181818181816E-2</v>
      </c>
      <c r="S44" s="235">
        <f t="shared" si="7"/>
        <v>-9.0909090909090912E-2</v>
      </c>
      <c r="T44" s="235">
        <f t="shared" si="8"/>
        <v>0.39622641509433965</v>
      </c>
      <c r="U44" s="235">
        <f t="shared" si="8"/>
        <v>7.3459715639810422E-2</v>
      </c>
      <c r="V44" s="236">
        <f t="shared" si="9"/>
        <v>1.7543859649122806E-2</v>
      </c>
    </row>
    <row r="45" spans="1:22" s="1" customFormat="1" ht="30" customHeight="1">
      <c r="A45" s="164" t="s">
        <v>25</v>
      </c>
      <c r="B45" s="201" t="s">
        <v>54</v>
      </c>
      <c r="C45" s="207">
        <v>29</v>
      </c>
      <c r="D45" s="208">
        <v>761</v>
      </c>
      <c r="E45" s="208">
        <v>71</v>
      </c>
      <c r="F45" s="208">
        <v>816</v>
      </c>
      <c r="G45" s="209">
        <v>93</v>
      </c>
      <c r="H45" s="218">
        <v>27</v>
      </c>
      <c r="I45" s="210">
        <v>748</v>
      </c>
      <c r="J45" s="210">
        <v>65</v>
      </c>
      <c r="K45" s="210">
        <v>838</v>
      </c>
      <c r="L45" s="211">
        <v>101</v>
      </c>
      <c r="M45" s="225">
        <f t="shared" si="1"/>
        <v>2</v>
      </c>
      <c r="N45" s="226">
        <f t="shared" si="2"/>
        <v>13</v>
      </c>
      <c r="O45" s="226">
        <f t="shared" si="3"/>
        <v>6</v>
      </c>
      <c r="P45" s="226">
        <f t="shared" si="4"/>
        <v>-22</v>
      </c>
      <c r="Q45" s="227">
        <f t="shared" si="5"/>
        <v>-8</v>
      </c>
      <c r="R45" s="234">
        <f t="shared" si="7"/>
        <v>7.407407407407407E-2</v>
      </c>
      <c r="S45" s="235">
        <f t="shared" si="7"/>
        <v>1.7379679144385027E-2</v>
      </c>
      <c r="T45" s="235">
        <f t="shared" si="8"/>
        <v>9.2307692307692313E-2</v>
      </c>
      <c r="U45" s="235">
        <f t="shared" si="8"/>
        <v>-2.6252983293556086E-2</v>
      </c>
      <c r="V45" s="236">
        <f t="shared" si="9"/>
        <v>-7.9207920792079209E-2</v>
      </c>
    </row>
    <row r="46" spans="1:22" s="1" customFormat="1" ht="30" customHeight="1">
      <c r="A46" s="164" t="s">
        <v>45</v>
      </c>
      <c r="B46" s="201" t="s">
        <v>54</v>
      </c>
      <c r="C46" s="207">
        <v>78</v>
      </c>
      <c r="D46" s="208">
        <v>40</v>
      </c>
      <c r="E46" s="208">
        <v>203</v>
      </c>
      <c r="F46" s="208">
        <v>1393</v>
      </c>
      <c r="G46" s="209">
        <v>131</v>
      </c>
      <c r="H46" s="218">
        <v>78</v>
      </c>
      <c r="I46" s="210">
        <v>39</v>
      </c>
      <c r="J46" s="210">
        <v>195</v>
      </c>
      <c r="K46" s="210">
        <v>1421</v>
      </c>
      <c r="L46" s="211">
        <v>126</v>
      </c>
      <c r="M46" s="225">
        <f t="shared" si="1"/>
        <v>0</v>
      </c>
      <c r="N46" s="226">
        <f t="shared" si="2"/>
        <v>1</v>
      </c>
      <c r="O46" s="226">
        <f t="shared" si="3"/>
        <v>8</v>
      </c>
      <c r="P46" s="226">
        <f t="shared" si="4"/>
        <v>-28</v>
      </c>
      <c r="Q46" s="227">
        <f t="shared" si="5"/>
        <v>5</v>
      </c>
      <c r="R46" s="234">
        <f t="shared" si="7"/>
        <v>0</v>
      </c>
      <c r="S46" s="235">
        <f t="shared" si="7"/>
        <v>2.564102564102564E-2</v>
      </c>
      <c r="T46" s="235">
        <f t="shared" si="8"/>
        <v>4.1025641025641026E-2</v>
      </c>
      <c r="U46" s="235">
        <f t="shared" si="8"/>
        <v>-1.9704433497536946E-2</v>
      </c>
      <c r="V46" s="236">
        <f t="shared" si="9"/>
        <v>3.968253968253968E-2</v>
      </c>
    </row>
    <row r="47" spans="1:22" s="1" customFormat="1" ht="30" customHeight="1">
      <c r="A47" s="164" t="s">
        <v>46</v>
      </c>
      <c r="B47" s="201" t="s">
        <v>55</v>
      </c>
      <c r="C47" s="207">
        <v>4</v>
      </c>
      <c r="D47" s="208">
        <v>3</v>
      </c>
      <c r="E47" s="208">
        <v>1</v>
      </c>
      <c r="F47" s="208">
        <v>31</v>
      </c>
      <c r="G47" s="209">
        <v>2</v>
      </c>
      <c r="H47" s="218">
        <v>1</v>
      </c>
      <c r="I47" s="210">
        <v>5</v>
      </c>
      <c r="J47" s="210">
        <v>1</v>
      </c>
      <c r="K47" s="210">
        <v>34</v>
      </c>
      <c r="L47" s="211">
        <v>2</v>
      </c>
      <c r="M47" s="225">
        <f t="shared" si="1"/>
        <v>3</v>
      </c>
      <c r="N47" s="226">
        <f t="shared" si="2"/>
        <v>-2</v>
      </c>
      <c r="O47" s="226">
        <f t="shared" si="3"/>
        <v>0</v>
      </c>
      <c r="P47" s="226">
        <f t="shared" si="4"/>
        <v>-3</v>
      </c>
      <c r="Q47" s="227">
        <f t="shared" si="5"/>
        <v>0</v>
      </c>
      <c r="R47" s="234">
        <f t="shared" si="7"/>
        <v>3</v>
      </c>
      <c r="S47" s="235">
        <f t="shared" si="7"/>
        <v>-0.4</v>
      </c>
      <c r="T47" s="235">
        <f t="shared" si="8"/>
        <v>0</v>
      </c>
      <c r="U47" s="235">
        <f t="shared" si="8"/>
        <v>-8.8235294117647065E-2</v>
      </c>
      <c r="V47" s="236">
        <f t="shared" si="9"/>
        <v>0</v>
      </c>
    </row>
    <row r="48" spans="1:22" s="1" customFormat="1" ht="30" customHeight="1">
      <c r="A48" s="164" t="s">
        <v>26</v>
      </c>
      <c r="B48" s="201" t="s">
        <v>54</v>
      </c>
      <c r="C48" s="207">
        <v>234</v>
      </c>
      <c r="D48" s="208">
        <v>67</v>
      </c>
      <c r="E48" s="208">
        <v>241</v>
      </c>
      <c r="F48" s="208">
        <v>1036</v>
      </c>
      <c r="G48" s="209">
        <v>147</v>
      </c>
      <c r="H48" s="218">
        <v>206</v>
      </c>
      <c r="I48" s="210">
        <v>63</v>
      </c>
      <c r="J48" s="210">
        <v>191</v>
      </c>
      <c r="K48" s="210">
        <v>1023</v>
      </c>
      <c r="L48" s="211">
        <v>145</v>
      </c>
      <c r="M48" s="225">
        <f t="shared" si="1"/>
        <v>28</v>
      </c>
      <c r="N48" s="226">
        <f t="shared" si="2"/>
        <v>4</v>
      </c>
      <c r="O48" s="226">
        <f t="shared" si="3"/>
        <v>50</v>
      </c>
      <c r="P48" s="226">
        <f t="shared" si="4"/>
        <v>13</v>
      </c>
      <c r="Q48" s="227">
        <f t="shared" si="5"/>
        <v>2</v>
      </c>
      <c r="R48" s="234">
        <f t="shared" si="7"/>
        <v>0.13592233009708737</v>
      </c>
      <c r="S48" s="235">
        <f t="shared" si="7"/>
        <v>6.3492063492063489E-2</v>
      </c>
      <c r="T48" s="235">
        <f t="shared" si="8"/>
        <v>0.26178010471204188</v>
      </c>
      <c r="U48" s="235">
        <f t="shared" si="8"/>
        <v>1.2707722385141741E-2</v>
      </c>
      <c r="V48" s="236">
        <f t="shared" si="9"/>
        <v>1.3793103448275862E-2</v>
      </c>
    </row>
    <row r="49" spans="1:22" s="1" customFormat="1" ht="30" customHeight="1" thickBot="1">
      <c r="A49" s="203" t="s">
        <v>47</v>
      </c>
      <c r="B49" s="202" t="s">
        <v>55</v>
      </c>
      <c r="C49" s="212">
        <v>14</v>
      </c>
      <c r="D49" s="213">
        <v>9</v>
      </c>
      <c r="E49" s="213">
        <v>39</v>
      </c>
      <c r="F49" s="213">
        <v>51</v>
      </c>
      <c r="G49" s="214">
        <v>7</v>
      </c>
      <c r="H49" s="219">
        <v>18</v>
      </c>
      <c r="I49" s="220">
        <v>6</v>
      </c>
      <c r="J49" s="220">
        <v>39</v>
      </c>
      <c r="K49" s="220">
        <v>49</v>
      </c>
      <c r="L49" s="221">
        <v>3</v>
      </c>
      <c r="M49" s="228">
        <f t="shared" si="1"/>
        <v>-4</v>
      </c>
      <c r="N49" s="229">
        <f t="shared" si="2"/>
        <v>3</v>
      </c>
      <c r="O49" s="229">
        <f t="shared" si="3"/>
        <v>0</v>
      </c>
      <c r="P49" s="229">
        <f t="shared" si="4"/>
        <v>2</v>
      </c>
      <c r="Q49" s="230">
        <f t="shared" si="5"/>
        <v>4</v>
      </c>
      <c r="R49" s="237">
        <f t="shared" si="7"/>
        <v>-0.22222222222222221</v>
      </c>
      <c r="S49" s="238">
        <f t="shared" si="7"/>
        <v>0.5</v>
      </c>
      <c r="T49" s="238">
        <f t="shared" si="8"/>
        <v>0</v>
      </c>
      <c r="U49" s="238">
        <f t="shared" si="8"/>
        <v>4.0816326530612242E-2</v>
      </c>
      <c r="V49" s="239">
        <f t="shared" si="9"/>
        <v>1.3333333333333333</v>
      </c>
    </row>
    <row r="50" spans="1:22" s="14" customFormat="1" ht="35.1" customHeight="1" thickTop="1" thickBot="1">
      <c r="A50" s="196" t="s">
        <v>48</v>
      </c>
      <c r="B50" s="197"/>
      <c r="C50" s="193">
        <f>SUM(C5:C49)</f>
        <v>6155</v>
      </c>
      <c r="D50" s="193">
        <f>SUM(D5:D49)</f>
        <v>9636</v>
      </c>
      <c r="E50" s="193">
        <f>SUM(E5:E49)</f>
        <v>16174</v>
      </c>
      <c r="F50" s="193">
        <f>SUM(F5:F49)</f>
        <v>104147</v>
      </c>
      <c r="G50" s="193">
        <f>SUM(G5:G49)</f>
        <v>19209</v>
      </c>
      <c r="H50" s="193">
        <f t="shared" ref="H50:L50" si="20">SUM(H5:H49)</f>
        <v>5988</v>
      </c>
      <c r="I50" s="193">
        <f t="shared" si="20"/>
        <v>9295</v>
      </c>
      <c r="J50" s="193">
        <f t="shared" si="20"/>
        <v>14970</v>
      </c>
      <c r="K50" s="193">
        <f t="shared" si="20"/>
        <v>105161</v>
      </c>
      <c r="L50" s="193">
        <f t="shared" si="20"/>
        <v>18911</v>
      </c>
      <c r="M50" s="193">
        <f t="shared" ref="M50" si="21">SUM(M5:M49)</f>
        <v>167</v>
      </c>
      <c r="N50" s="193">
        <f t="shared" ref="N50" si="22">SUM(N5:N49)</f>
        <v>341</v>
      </c>
      <c r="O50" s="193">
        <f t="shared" ref="O50" si="23">SUM(O5:O49)</f>
        <v>1204</v>
      </c>
      <c r="P50" s="193">
        <f t="shared" ref="P50" si="24">SUM(P5:P49)</f>
        <v>-1014</v>
      </c>
      <c r="Q50" s="193">
        <f t="shared" ref="Q50" si="25">SUM(Q5:Q49)</f>
        <v>298</v>
      </c>
      <c r="R50" s="194">
        <f>IFERROR(M50/H50,0)</f>
        <v>2.7889111556446227E-2</v>
      </c>
      <c r="S50" s="194">
        <f>IFERROR(N50/I50,0)</f>
        <v>3.6686390532544376E-2</v>
      </c>
      <c r="T50" s="194">
        <f>IFERROR(O50/J50,0)</f>
        <v>8.0427521710086838E-2</v>
      </c>
      <c r="U50" s="194">
        <f>IFERROR(P50/K50,0)</f>
        <v>-9.6423579083500539E-3</v>
      </c>
      <c r="V50" s="195">
        <f>IFERROR(Q50/L50,0)</f>
        <v>1.5758024430225795E-2</v>
      </c>
    </row>
    <row r="51" spans="1:22" ht="15.75" thickTop="1"/>
  </sheetData>
  <sheetProtection password="D3D2" sheet="1" objects="1" scenarios="1"/>
  <mergeCells count="11">
    <mergeCell ref="C1:V1"/>
    <mergeCell ref="A3:A4"/>
    <mergeCell ref="B3:B4"/>
    <mergeCell ref="C3:E3"/>
    <mergeCell ref="F3:G3"/>
    <mergeCell ref="R3:V3"/>
    <mergeCell ref="M3:Q3"/>
    <mergeCell ref="H3:J3"/>
    <mergeCell ref="K3:L3"/>
    <mergeCell ref="T2:V2"/>
    <mergeCell ref="E2:S2"/>
  </mergeCells>
  <conditionalFormatting sqref="M5:M49">
    <cfRule type="expression" dxfId="102" priority="93">
      <formula>M5=IF(B5="Entre 5000-20000",MIN(IF(($B$5:$B$49="Entre 5000-20000"),$M$5:$M$49,"")))</formula>
    </cfRule>
    <cfRule type="expression" dxfId="101" priority="94">
      <formula>M5=IF(B5="Menor 5000",MIN(IF(($B$5:$B$49="Menor 5000"),$M$5:$M$49,"")))</formula>
    </cfRule>
    <cfRule type="expression" dxfId="100" priority="95">
      <formula>M5=IF(B5="Mayor 20000",MIN(IF(($B$5:$B$49="Mayor 20000"),$M$5:$M$49,"")))</formula>
    </cfRule>
    <cfRule type="expression" dxfId="99" priority="96">
      <formula>M5=IF(B5="Entre 5000-20000",MAX(IF(($B$5:$B$49="Entre 5000-20000"),$M$5:$M$49,"")))</formula>
    </cfRule>
    <cfRule type="expression" dxfId="98" priority="97">
      <formula>M5=IF(B5="Menor 5000",MAX(IF(($B$5:$B$49="Menor 5000"),$M$5:$M$49,"")))</formula>
    </cfRule>
    <cfRule type="expression" dxfId="97" priority="103">
      <formula>M5=IF(B5="Mayor 20000",MAX(IF(($B$5:$B$49="Mayor 20000"),$M$5:$M$49,"")))</formula>
    </cfRule>
  </conditionalFormatting>
  <conditionalFormatting sqref="N5:N49">
    <cfRule type="expression" dxfId="96" priority="87">
      <formula>N5=IF(B5="Entre 5000-20000",MIN(IF(($B$5:$B$49="Entre 5000-20000"),$N$5:$N$49,"")))</formula>
    </cfRule>
    <cfRule type="expression" dxfId="95" priority="88">
      <formula>N5=IF(B5="Menor 5000",MIN(IF(($B$5:$B$49="Menor 5000"),$N$5:$N$49,"")))</formula>
    </cfRule>
    <cfRule type="expression" dxfId="94" priority="89">
      <formula>N5=IF(B5="Mayor 20000",MIN(IF(($B$5:$B$49="Mayor 20000"),$N$5:$N$49,"")))</formula>
    </cfRule>
    <cfRule type="expression" dxfId="93" priority="90">
      <formula>N5=IF(B5="Entre 5000-20000",MAX(IF(($B$5:$B$49="Entre 5000-20000"),$N$5:$N$49,"")))</formula>
    </cfRule>
    <cfRule type="expression" dxfId="92" priority="91">
      <formula>N5=IF(B5="Menor 5000",MAX(IF(($B$5:$B$49="Menor 5000"),$N$5:$N$49,"")))</formula>
    </cfRule>
    <cfRule type="expression" dxfId="91" priority="92">
      <formula>N5=IF(B5="Mayor 20000",MAX(IF(($B$5:$B$49="Mayor 20000"),$N$5:$N$49,"")))</formula>
    </cfRule>
    <cfRule type="expression" dxfId="90" priority="102">
      <formula>N5=IF(B5="Mayor 20000",MAX(IF(($B$5:$B$49="Mayor 20000"),$N$5:$N$49,"")))</formula>
    </cfRule>
  </conditionalFormatting>
  <conditionalFormatting sqref="Q5:Q49">
    <cfRule type="expression" dxfId="89" priority="57">
      <formula>Q5=IF(B5="Entre 5000-20000",MIN(IF(($B$5:$B$49="Entre 5000-20000"),$Q$5:$Q$49,"")))</formula>
    </cfRule>
    <cfRule type="expression" dxfId="88" priority="58">
      <formula>Q5=IF(B5="Menor 5000",MIN(IF(($B$5:$B$49="Menor 5000"),$Q$5:$Q$49,"")))</formula>
    </cfRule>
    <cfRule type="expression" dxfId="87" priority="59">
      <formula>Q5=IF(B5="Mayor 20000",MIN(IF(($B$5:$B$49="Mayor 20000"),$Q$5:$Q$49,"")))</formula>
    </cfRule>
    <cfRule type="expression" dxfId="86" priority="60">
      <formula>Q5=IF(B5="Entre 5000-20000",MAX(IF(($B$5:$B$49="Entre 5000-20000"),$Q$5:$Q$49,"")))</formula>
    </cfRule>
    <cfRule type="expression" dxfId="85" priority="61">
      <formula>Q5=IF(B5="Menor 5000",MAX(IF(($B$5:$B$49="Menor 5000"),$Q$5:$Q$49,"")))</formula>
    </cfRule>
    <cfRule type="expression" dxfId="84" priority="62">
      <formula>Q5=IF(B5="Mayor 20000",MAX(IF(($B$5:$B$49="Mayor 20000"),$Q$5:$Q$49,"")))</formula>
    </cfRule>
  </conditionalFormatting>
  <conditionalFormatting sqref="O5:O49">
    <cfRule type="expression" dxfId="83" priority="43">
      <formula>O5=IF(B5="Entre 5000-20000",MIN(IF(($B$5:$B$49="Entre 5000-20000"),$O$5:$O$49,"")))</formula>
    </cfRule>
    <cfRule type="expression" dxfId="82" priority="44">
      <formula>O5=IF(B5="Menor 5000",MIN(IF(($B$5:$B$49="Menor 5000"),$O$5:$O$49,"")))</formula>
    </cfRule>
    <cfRule type="expression" dxfId="81" priority="45">
      <formula>O5=IF(B5="Mayor 20000",MIN(IF(($B$5:$B$49="Mayor 20000"),$O$5:$O$49,"")))</formula>
    </cfRule>
    <cfRule type="expression" dxfId="80" priority="46">
      <formula>O5=IF(B5="Entre 5000-20000",MAX(IF(($B$5:$B$49="Entre 5000-20000"),$O$5:$O$49,"")))</formula>
    </cfRule>
    <cfRule type="expression" dxfId="79" priority="47">
      <formula>O5=IF(B5="Menor 5000",MAX(IF(($B$5:$B$49="Menor 5000"),$O$5:$O$49,"")))</formula>
    </cfRule>
    <cfRule type="expression" dxfId="78" priority="48">
      <formula>O5=IF(B5="Mayor 20000",MAX(IF(($B$5:$B$49="Mayor 20000"),$O$5:$O$49,"")))</formula>
    </cfRule>
  </conditionalFormatting>
  <conditionalFormatting sqref="P5:P49">
    <cfRule type="expression" dxfId="77" priority="37">
      <formula>P5=IF(B5="Entre 5000-20000",MIN(IF(($B$5:$B$49="Entre 5000-20000"),$P$5:$P$49,"")))</formula>
    </cfRule>
    <cfRule type="expression" dxfId="76" priority="38">
      <formula>P5=IF(B5="Menor 5000",MIN(IF(($B$5:$B$49="Menor 5000"),$P$5:$P$49,"")))</formula>
    </cfRule>
    <cfRule type="expression" dxfId="75" priority="39">
      <formula>P5=IF(B5="Mayor 20000",MIN(IF(($B$5:$B$49="Mayor 20000"),$P$5:$P$49,"")))</formula>
    </cfRule>
    <cfRule type="expression" dxfId="74" priority="40">
      <formula>P5=IF(B5="Entre 5000-20000",MAX(IF(($B$5:$B$49="Entre 5000-20000"),$P$5:$P$49,"")))</formula>
    </cfRule>
    <cfRule type="expression" dxfId="73" priority="41">
      <formula>P5=IF(B5="Menor 5000",MAX(IF(($B$5:$B$49="Menor 5000"),$P$5:$P$49,"")))</formula>
    </cfRule>
    <cfRule type="expression" dxfId="72" priority="42">
      <formula>P5=IF(B5="Mayor 20000",MAX(IF(($B$5:$B$49="Mayor 20000"),$P$5:$P$49,"")))</formula>
    </cfRule>
  </conditionalFormatting>
  <conditionalFormatting sqref="R5:R49">
    <cfRule type="expression" dxfId="71" priority="25">
      <formula>R5=IF($B5="Entre 5000-20000",MIN(IF(($B$5:$B$49="Entre 5000-20000"),$R$5:$R$49,"")))</formula>
    </cfRule>
    <cfRule type="expression" dxfId="70" priority="26">
      <formula>R5=IF($B5="Menor 5000",MIN(IF(($B$5:$B$49="Menor 5000"),$R$5:$R$49,"")))</formula>
    </cfRule>
    <cfRule type="expression" dxfId="69" priority="27">
      <formula>R5=IF($B5="Mayor 20000",MIN(IF(($B$5:$B$49="Mayor 20000"),$R$5:$R$49,"")))</formula>
    </cfRule>
    <cfRule type="expression" dxfId="68" priority="28">
      <formula>R5=IF($B5="Entre 5000-20000",MAX(IF(($B$5:$B$49="Entre 5000-20000"),$R$5:$R$49,"")))</formula>
    </cfRule>
    <cfRule type="expression" dxfId="67" priority="29">
      <formula>R5=IF($B5="Menor 5000",MAX(IF(($B$5:$B$49="Menor 5000"),$R$5:$R$49,"")))</formula>
    </cfRule>
    <cfRule type="expression" dxfId="66" priority="30">
      <formula>R5=IF($B5="Mayor 20000",MAX(IF(($B$5:$B$49="Mayor 20000"),$R$5:$R$49,"")))</formula>
    </cfRule>
  </conditionalFormatting>
  <conditionalFormatting sqref="S5:S49">
    <cfRule type="expression" dxfId="65" priority="19">
      <formula>S5=IF($B5="Entre 5000-20000",MIN(IF(($B$5:$B$49="Entre 5000-20000"),$S$5:$S$49,"")))</formula>
    </cfRule>
    <cfRule type="expression" dxfId="64" priority="20">
      <formula>S5=IF($B5="Menor 5000",MIN(IF(($B$5:$B$49="Menor 5000"),$S$5:$S$49,"")))</formula>
    </cfRule>
    <cfRule type="expression" dxfId="63" priority="21">
      <formula>S5=IF($B5="Mayor 20000",MIN(IF(($B$5:$B$49="Mayor 20000"),$S$5:$S$49,"")))</formula>
    </cfRule>
    <cfRule type="expression" dxfId="62" priority="22">
      <formula>S5=IF($B5="Entre 5000-20000",MAX(IF(($B$5:$B$49="Entre 5000-20000"),$S$5:$S$49,"")))</formula>
    </cfRule>
    <cfRule type="expression" dxfId="61" priority="24">
      <formula>S5=IF($B5="Mayor 20000",MAX(IF(($B$5:$B$49="Mayor 20000"),$S$5:$S$49,"")))</formula>
    </cfRule>
  </conditionalFormatting>
  <conditionalFormatting sqref="S5:S50">
    <cfRule type="expression" dxfId="60" priority="23">
      <formula>S5=IF($B5="Menor 5000",MAX(IF(($B$5:$B$49="Menor 5000"),$S$5:$S$49,"")))</formula>
    </cfRule>
  </conditionalFormatting>
  <conditionalFormatting sqref="T5:T49">
    <cfRule type="expression" dxfId="59" priority="13">
      <formula>T5=IF($B5="Entre 5000-20000",MIN(IF(($B$5:$B$49="Entre 5000-20000"),$T$5:$T$49,"")))</formula>
    </cfRule>
    <cfRule type="expression" dxfId="58" priority="14">
      <formula>T5=IF($B5="Menor 5000",MIN(IF(($B$5:$B$49="Menor 5000"),$T$5:$T$49,"")))</formula>
    </cfRule>
    <cfRule type="expression" dxfId="57" priority="15">
      <formula>T5=IF($B5="Mayor 20000",MIN(IF(($B$5:$B$49="Mayor 20000"),$T$5:$T$49,"")))</formula>
    </cfRule>
    <cfRule type="expression" dxfId="56" priority="16">
      <formula>T5=IF($B5="Entre 5000-20000",MAX(IF(($B$5:$B$49="Entre 5000-20000"),$T$5:$T$49,"")))</formula>
    </cfRule>
    <cfRule type="expression" dxfId="55" priority="18">
      <formula>T5=IF($B5="Mayor 20000",MAX(IF(($B$5:$B$49="Mayor 20000"),$T$5:$T$49,"")))</formula>
    </cfRule>
  </conditionalFormatting>
  <conditionalFormatting sqref="T5:T50">
    <cfRule type="expression" dxfId="54" priority="17">
      <formula>T5=IF($B5="Menor 5000",MAX(IF(($B$5:$B$49="Menor 5000"),$T$5:$T$49,"")))</formula>
    </cfRule>
  </conditionalFormatting>
  <conditionalFormatting sqref="U5:U49">
    <cfRule type="expression" dxfId="53" priority="7">
      <formula>U5=IF($B5="Entre 5000-20000",MIN(IF(($B$5:$B$49="Entre 5000-20000"),$U$5:$U$49,"")))</formula>
    </cfRule>
    <cfRule type="expression" dxfId="52" priority="8">
      <formula>U5=IF($B5="Menor 5000",MIN(IF(($B$5:$B$49="Menor 5000"),$U$5:$U$49,"")))</formula>
    </cfRule>
    <cfRule type="expression" dxfId="51" priority="9">
      <formula>U5=IF($B5="Mayor 20000",MIN(IF(($B$5:$B$49="Mayor 20000"),$U$5:$U$49,"")))</formula>
    </cfRule>
    <cfRule type="expression" dxfId="50" priority="10">
      <formula>U5=IF($B5="Entre 5000-20000",MAX(IF(($B$5:$B$49="Entre 5000-20000"),$U$5:$U$49,"")))</formula>
    </cfRule>
    <cfRule type="expression" dxfId="49" priority="11">
      <formula>U5=IF($B5="Menor 5000",MAX(IF(($B$5:$B$49="Menor 5000"),$U$5:$U$49,"")))</formula>
    </cfRule>
    <cfRule type="expression" dxfId="48" priority="12">
      <formula>U5=IF($B5="Mayor 20000",MAX(IF(($B$5:$B$49="Mayor 20000"),$U$5:$U$49,"")))</formula>
    </cfRule>
  </conditionalFormatting>
  <conditionalFormatting sqref="V5:V49">
    <cfRule type="expression" dxfId="47" priority="1">
      <formula>V5=IF($B5="Entre 5000-20000",MIN(IF(($B$5:$B$49="Entre 5000-20000"),$V$5:$V$49,"")))</formula>
    </cfRule>
    <cfRule type="expression" dxfId="46" priority="2">
      <formula>V5=IF($B5="Menor 5000",MIN(IF(($B$5:$B$49="Menor 5000"),$V$5:$V$49,"")))</formula>
    </cfRule>
    <cfRule type="expression" dxfId="45" priority="3">
      <formula>V5=IF($B5="Mayor 20000",MIN(IF(($B$5:$B$49="Mayor 20000"),$V$5:$V$49,"")))</formula>
    </cfRule>
    <cfRule type="expression" dxfId="44" priority="4">
      <formula>V5=IF($B5="Entre 5000-20000",MAX(IF(($B$5:$B$49="Entre 5000-20000"),$V$5:$V$49,"")))</formula>
    </cfRule>
    <cfRule type="expression" dxfId="43" priority="5">
      <formula>V5=IF($B5="Menor 5000",MAX(IF(($B$5:$B$49="Menor 5000"),$V$5:$V$49,"")))</formula>
    </cfRule>
    <cfRule type="expression" dxfId="42" priority="6">
      <formula>V5=IF($B5="Mayor 20000",MAX(IF(($B$5:$B$49="Mayor 20000"),$V$5:$V$49,"")))</formula>
    </cfRule>
  </conditionalFormatting>
  <printOptions horizontalCentered="1"/>
  <pageMargins left="0.51181102362204722" right="0.51181102362204722" top="0.55118110236220474" bottom="0.55118110236220474" header="0" footer="0.19685039370078741"/>
  <pageSetup paperSize="9" scale="31" orientation="landscape" r:id="rId1"/>
  <headerFooter>
    <oddFooter>&amp;L&amp;"Rockwell,Normal"&amp;18&amp;K04-014Fuentes: Servicio Público de Empleo Estatal
Informe elaborado por el IEDT. Diputación de Cádiz&amp;R&amp;"Rockwell,Normal"&amp;18&amp;K04-023 4&amp;K04-014 de 8</oddFooter>
  </headerFooter>
  <drawing r:id="rId2"/>
</worksheet>
</file>

<file path=xl/worksheets/sheet4.xml><?xml version="1.0" encoding="utf-8"?>
<worksheet xmlns="http://schemas.openxmlformats.org/spreadsheetml/2006/main" xmlns:r="http://schemas.openxmlformats.org/officeDocument/2006/relationships">
  <sheetPr>
    <pageSetUpPr fitToPage="1"/>
  </sheetPr>
  <dimension ref="A1:Q52"/>
  <sheetViews>
    <sheetView showGridLines="0" view="pageLayout" topLeftCell="D31" zoomScaleNormal="77" workbookViewId="0">
      <selection activeCell="K51" sqref="K51:L51"/>
    </sheetView>
  </sheetViews>
  <sheetFormatPr baseColWidth="10" defaultRowHeight="15"/>
  <cols>
    <col min="1" max="1" width="47.85546875" customWidth="1"/>
    <col min="2" max="2" width="24" customWidth="1"/>
    <col min="3" max="10" width="14.140625" customWidth="1"/>
    <col min="11" max="16" width="15.7109375" customWidth="1"/>
    <col min="17" max="17" width="0" hidden="1" customWidth="1"/>
  </cols>
  <sheetData>
    <row r="1" spans="1:17" ht="39.75" customHeight="1" thickTop="1" thickBot="1">
      <c r="B1" s="366" t="s">
        <v>65</v>
      </c>
      <c r="C1" s="367"/>
      <c r="D1" s="367"/>
      <c r="E1" s="367"/>
      <c r="F1" s="367"/>
      <c r="G1" s="367"/>
      <c r="H1" s="367"/>
      <c r="I1" s="367"/>
      <c r="J1" s="367"/>
      <c r="K1" s="367"/>
      <c r="L1" s="367"/>
      <c r="M1" s="367"/>
      <c r="N1" s="367"/>
      <c r="O1" s="367"/>
      <c r="P1" s="368"/>
    </row>
    <row r="2" spans="1:17" ht="28.5" customHeight="1" thickTop="1" thickBot="1">
      <c r="C2" s="377" t="s">
        <v>99</v>
      </c>
      <c r="D2" s="377"/>
      <c r="E2" s="377"/>
      <c r="F2" s="377"/>
      <c r="G2" s="377"/>
      <c r="H2" s="377"/>
      <c r="I2" s="377"/>
      <c r="J2" s="377"/>
      <c r="K2" s="377"/>
      <c r="L2" s="377"/>
      <c r="M2" s="377"/>
      <c r="N2" s="377"/>
      <c r="O2" s="376">
        <f>FECHA.ACT</f>
        <v>44621</v>
      </c>
      <c r="P2" s="376"/>
      <c r="Q2" s="5">
        <f>+EDATE(O2,-1)</f>
        <v>44593</v>
      </c>
    </row>
    <row r="3" spans="1:17" ht="22.5" customHeight="1" thickTop="1">
      <c r="A3" s="369" t="s">
        <v>57</v>
      </c>
      <c r="B3" s="372" t="s">
        <v>53</v>
      </c>
      <c r="C3" s="380" t="s">
        <v>59</v>
      </c>
      <c r="D3" s="381"/>
      <c r="E3" s="381"/>
      <c r="F3" s="381"/>
      <c r="G3" s="382" t="str">
        <f>UPPER(TEXT(O2," mmmm aaaa"))</f>
        <v xml:space="preserve"> MARZO 2022</v>
      </c>
      <c r="H3" s="382"/>
      <c r="I3" s="382"/>
      <c r="J3" s="383"/>
      <c r="K3" s="379" t="s">
        <v>58</v>
      </c>
      <c r="L3" s="379"/>
      <c r="M3" s="384" t="s">
        <v>69</v>
      </c>
      <c r="N3" s="384"/>
      <c r="O3" s="384" t="s">
        <v>70</v>
      </c>
      <c r="P3" s="386"/>
    </row>
    <row r="4" spans="1:17" ht="22.5" customHeight="1">
      <c r="A4" s="370"/>
      <c r="B4" s="373"/>
      <c r="C4" s="375" t="s">
        <v>0</v>
      </c>
      <c r="D4" s="375"/>
      <c r="E4" s="375"/>
      <c r="F4" s="375"/>
      <c r="G4" s="375" t="s">
        <v>1</v>
      </c>
      <c r="H4" s="375"/>
      <c r="I4" s="375"/>
      <c r="J4" s="375"/>
      <c r="K4" s="378" t="str">
        <f>UPPER(TEXT(Q2,"  mmmm aaaa"))</f>
        <v xml:space="preserve">  FEBRERO 2022</v>
      </c>
      <c r="L4" s="378"/>
      <c r="M4" s="385"/>
      <c r="N4" s="385"/>
      <c r="O4" s="385"/>
      <c r="P4" s="387"/>
    </row>
    <row r="5" spans="1:17" ht="23.25" customHeight="1" thickBot="1">
      <c r="A5" s="371"/>
      <c r="B5" s="374"/>
      <c r="C5" s="240" t="s">
        <v>2</v>
      </c>
      <c r="D5" s="240" t="s">
        <v>3</v>
      </c>
      <c r="E5" s="240" t="s">
        <v>71</v>
      </c>
      <c r="F5" s="240" t="s">
        <v>4</v>
      </c>
      <c r="G5" s="240" t="s">
        <v>2</v>
      </c>
      <c r="H5" s="240" t="s">
        <v>3</v>
      </c>
      <c r="I5" s="240" t="s">
        <v>71</v>
      </c>
      <c r="J5" s="240" t="s">
        <v>4</v>
      </c>
      <c r="K5" s="241" t="s">
        <v>0</v>
      </c>
      <c r="L5" s="241" t="s">
        <v>1</v>
      </c>
      <c r="M5" s="242" t="s">
        <v>0</v>
      </c>
      <c r="N5" s="242" t="s">
        <v>1</v>
      </c>
      <c r="O5" s="242" t="s">
        <v>0</v>
      </c>
      <c r="P5" s="243" t="s">
        <v>1</v>
      </c>
    </row>
    <row r="6" spans="1:17" s="1" customFormat="1" ht="21" thickTop="1">
      <c r="A6" s="254" t="s">
        <v>30</v>
      </c>
      <c r="B6" s="260" t="s">
        <v>54</v>
      </c>
      <c r="C6" s="257">
        <v>30</v>
      </c>
      <c r="D6" s="248">
        <v>104</v>
      </c>
      <c r="E6" s="248">
        <v>134</v>
      </c>
      <c r="F6" s="263">
        <f t="shared" ref="F6:F50" si="0">SUM(C6:E6)</f>
        <v>268</v>
      </c>
      <c r="G6" s="266">
        <v>42</v>
      </c>
      <c r="H6" s="248">
        <v>197</v>
      </c>
      <c r="I6" s="248">
        <v>228</v>
      </c>
      <c r="J6" s="267">
        <f>SUM(G6:I6)</f>
        <v>467</v>
      </c>
      <c r="K6" s="257">
        <v>257</v>
      </c>
      <c r="L6" s="272">
        <v>483</v>
      </c>
      <c r="M6" s="278">
        <f t="shared" ref="M6:M50" si="1">+F6-K6</f>
        <v>11</v>
      </c>
      <c r="N6" s="279">
        <f t="shared" ref="N6:N50" si="2">+J6-L6</f>
        <v>-16</v>
      </c>
      <c r="O6" s="275">
        <f t="shared" ref="O6:O50" si="3">IFERROR(M6/K6,0)</f>
        <v>4.2801556420233464E-2</v>
      </c>
      <c r="P6" s="249">
        <f t="shared" ref="P6:P50" si="4">IFERROR(N6/L6,0)</f>
        <v>-3.3126293995859216E-2</v>
      </c>
    </row>
    <row r="7" spans="1:17" s="1" customFormat="1" ht="20.25">
      <c r="A7" s="255" t="s">
        <v>31</v>
      </c>
      <c r="B7" s="261" t="s">
        <v>54</v>
      </c>
      <c r="C7" s="258">
        <v>27</v>
      </c>
      <c r="D7" s="250">
        <v>76</v>
      </c>
      <c r="E7" s="250">
        <v>134</v>
      </c>
      <c r="F7" s="264">
        <f t="shared" si="0"/>
        <v>237</v>
      </c>
      <c r="G7" s="268">
        <v>18</v>
      </c>
      <c r="H7" s="250">
        <v>66</v>
      </c>
      <c r="I7" s="250">
        <v>60</v>
      </c>
      <c r="J7" s="269">
        <f t="shared" ref="J7:J50" si="5">SUM(G7:I7)</f>
        <v>144</v>
      </c>
      <c r="K7" s="258">
        <v>235</v>
      </c>
      <c r="L7" s="273">
        <v>148</v>
      </c>
      <c r="M7" s="280">
        <f t="shared" si="1"/>
        <v>2</v>
      </c>
      <c r="N7" s="281">
        <f t="shared" si="2"/>
        <v>-4</v>
      </c>
      <c r="O7" s="276">
        <f t="shared" si="3"/>
        <v>8.5106382978723406E-3</v>
      </c>
      <c r="P7" s="251">
        <f t="shared" si="4"/>
        <v>-2.7027027027027029E-2</v>
      </c>
    </row>
    <row r="8" spans="1:17" s="1" customFormat="1" ht="20.25">
      <c r="A8" s="255" t="s">
        <v>5</v>
      </c>
      <c r="B8" s="261" t="s">
        <v>55</v>
      </c>
      <c r="C8" s="258">
        <v>7</v>
      </c>
      <c r="D8" s="250">
        <v>20</v>
      </c>
      <c r="E8" s="250">
        <v>34</v>
      </c>
      <c r="F8" s="264">
        <f t="shared" si="0"/>
        <v>61</v>
      </c>
      <c r="G8" s="268">
        <v>11</v>
      </c>
      <c r="H8" s="250">
        <v>42</v>
      </c>
      <c r="I8" s="250">
        <v>53</v>
      </c>
      <c r="J8" s="269">
        <f t="shared" si="5"/>
        <v>106</v>
      </c>
      <c r="K8" s="258">
        <v>53</v>
      </c>
      <c r="L8" s="273">
        <v>93</v>
      </c>
      <c r="M8" s="280">
        <f t="shared" si="1"/>
        <v>8</v>
      </c>
      <c r="N8" s="281">
        <f t="shared" si="2"/>
        <v>13</v>
      </c>
      <c r="O8" s="276">
        <f t="shared" si="3"/>
        <v>0.15094339622641509</v>
      </c>
      <c r="P8" s="251">
        <f t="shared" si="4"/>
        <v>0.13978494623655913</v>
      </c>
    </row>
    <row r="9" spans="1:17" s="1" customFormat="1" ht="20.25">
      <c r="A9" s="255" t="s">
        <v>6</v>
      </c>
      <c r="B9" s="261" t="s">
        <v>56</v>
      </c>
      <c r="C9" s="258">
        <v>646</v>
      </c>
      <c r="D9" s="250">
        <v>2359</v>
      </c>
      <c r="E9" s="250">
        <v>2902</v>
      </c>
      <c r="F9" s="264">
        <f t="shared" si="0"/>
        <v>5907</v>
      </c>
      <c r="G9" s="268">
        <v>673</v>
      </c>
      <c r="H9" s="250">
        <v>4168</v>
      </c>
      <c r="I9" s="250">
        <v>4480</v>
      </c>
      <c r="J9" s="269">
        <f t="shared" si="5"/>
        <v>9321</v>
      </c>
      <c r="K9" s="258">
        <v>5879</v>
      </c>
      <c r="L9" s="273">
        <v>9376</v>
      </c>
      <c r="M9" s="280">
        <f t="shared" si="1"/>
        <v>28</v>
      </c>
      <c r="N9" s="281">
        <f t="shared" si="2"/>
        <v>-55</v>
      </c>
      <c r="O9" s="276">
        <f t="shared" si="3"/>
        <v>4.7627147474060211E-3</v>
      </c>
      <c r="P9" s="251">
        <f t="shared" si="4"/>
        <v>-5.866040955631399E-3</v>
      </c>
    </row>
    <row r="10" spans="1:17" s="1" customFormat="1" ht="20.25">
      <c r="A10" s="255" t="s">
        <v>7</v>
      </c>
      <c r="B10" s="261" t="s">
        <v>54</v>
      </c>
      <c r="C10" s="258">
        <v>38</v>
      </c>
      <c r="D10" s="250">
        <v>76</v>
      </c>
      <c r="E10" s="250">
        <v>136</v>
      </c>
      <c r="F10" s="264">
        <f t="shared" si="0"/>
        <v>250</v>
      </c>
      <c r="G10" s="268">
        <v>33</v>
      </c>
      <c r="H10" s="250">
        <v>114</v>
      </c>
      <c r="I10" s="250">
        <v>129</v>
      </c>
      <c r="J10" s="269">
        <f t="shared" si="5"/>
        <v>276</v>
      </c>
      <c r="K10" s="258">
        <v>226</v>
      </c>
      <c r="L10" s="273">
        <v>281</v>
      </c>
      <c r="M10" s="280">
        <f t="shared" si="1"/>
        <v>24</v>
      </c>
      <c r="N10" s="281">
        <f t="shared" si="2"/>
        <v>-5</v>
      </c>
      <c r="O10" s="276">
        <f t="shared" si="3"/>
        <v>0.10619469026548672</v>
      </c>
      <c r="P10" s="251">
        <f t="shared" si="4"/>
        <v>-1.7793594306049824E-2</v>
      </c>
    </row>
    <row r="11" spans="1:17" s="1" customFormat="1" ht="20.25">
      <c r="A11" s="255" t="s">
        <v>115</v>
      </c>
      <c r="B11" s="261" t="s">
        <v>56</v>
      </c>
      <c r="C11" s="258">
        <v>204</v>
      </c>
      <c r="D11" s="250">
        <v>698</v>
      </c>
      <c r="E11" s="250">
        <v>986</v>
      </c>
      <c r="F11" s="264">
        <f t="shared" si="0"/>
        <v>1888</v>
      </c>
      <c r="G11" s="268">
        <v>203</v>
      </c>
      <c r="H11" s="250">
        <v>1227</v>
      </c>
      <c r="I11" s="250">
        <v>1465</v>
      </c>
      <c r="J11" s="269">
        <f t="shared" si="5"/>
        <v>2895</v>
      </c>
      <c r="K11" s="258">
        <v>1671</v>
      </c>
      <c r="L11" s="273">
        <v>2891</v>
      </c>
      <c r="M11" s="280">
        <f t="shared" si="1"/>
        <v>217</v>
      </c>
      <c r="N11" s="281">
        <f t="shared" si="2"/>
        <v>4</v>
      </c>
      <c r="O11" s="276">
        <f t="shared" si="3"/>
        <v>0.1298623578695392</v>
      </c>
      <c r="P11" s="251">
        <f t="shared" si="4"/>
        <v>1.3836042891732965E-3</v>
      </c>
    </row>
    <row r="12" spans="1:17" s="1" customFormat="1" ht="20.25">
      <c r="A12" s="255" t="s">
        <v>8</v>
      </c>
      <c r="B12" s="261" t="s">
        <v>56</v>
      </c>
      <c r="C12" s="258">
        <v>203</v>
      </c>
      <c r="D12" s="250">
        <v>645</v>
      </c>
      <c r="E12" s="250">
        <v>689</v>
      </c>
      <c r="F12" s="264">
        <f t="shared" si="0"/>
        <v>1537</v>
      </c>
      <c r="G12" s="268">
        <v>182</v>
      </c>
      <c r="H12" s="250">
        <v>1032</v>
      </c>
      <c r="I12" s="250">
        <v>1122</v>
      </c>
      <c r="J12" s="269">
        <f t="shared" si="5"/>
        <v>2336</v>
      </c>
      <c r="K12" s="258">
        <v>1625</v>
      </c>
      <c r="L12" s="273">
        <v>2442</v>
      </c>
      <c r="M12" s="280">
        <f t="shared" si="1"/>
        <v>-88</v>
      </c>
      <c r="N12" s="281">
        <f t="shared" si="2"/>
        <v>-106</v>
      </c>
      <c r="O12" s="276">
        <f t="shared" si="3"/>
        <v>-5.4153846153846157E-2</v>
      </c>
      <c r="P12" s="251">
        <f t="shared" si="4"/>
        <v>-4.3407043407043405E-2</v>
      </c>
    </row>
    <row r="13" spans="1:17" s="1" customFormat="1" ht="20.25">
      <c r="A13" s="255" t="s">
        <v>9</v>
      </c>
      <c r="B13" s="261" t="s">
        <v>56</v>
      </c>
      <c r="C13" s="258">
        <v>121</v>
      </c>
      <c r="D13" s="250">
        <v>407</v>
      </c>
      <c r="E13" s="250">
        <v>430</v>
      </c>
      <c r="F13" s="264">
        <f t="shared" si="0"/>
        <v>958</v>
      </c>
      <c r="G13" s="268">
        <v>123</v>
      </c>
      <c r="H13" s="250">
        <v>734</v>
      </c>
      <c r="I13" s="250">
        <v>847</v>
      </c>
      <c r="J13" s="269">
        <f t="shared" si="5"/>
        <v>1704</v>
      </c>
      <c r="K13" s="258">
        <v>942</v>
      </c>
      <c r="L13" s="273">
        <v>1738</v>
      </c>
      <c r="M13" s="280">
        <f t="shared" si="1"/>
        <v>16</v>
      </c>
      <c r="N13" s="281">
        <f t="shared" si="2"/>
        <v>-34</v>
      </c>
      <c r="O13" s="276">
        <f t="shared" si="3"/>
        <v>1.6985138004246284E-2</v>
      </c>
      <c r="P13" s="251">
        <f t="shared" si="4"/>
        <v>-1.9562715765247412E-2</v>
      </c>
    </row>
    <row r="14" spans="1:17" s="1" customFormat="1" ht="20.25">
      <c r="A14" s="255" t="s">
        <v>10</v>
      </c>
      <c r="B14" s="261" t="s">
        <v>54</v>
      </c>
      <c r="C14" s="258">
        <v>63</v>
      </c>
      <c r="D14" s="250">
        <v>143</v>
      </c>
      <c r="E14" s="250">
        <v>188</v>
      </c>
      <c r="F14" s="264">
        <f t="shared" si="0"/>
        <v>394</v>
      </c>
      <c r="G14" s="268">
        <v>42</v>
      </c>
      <c r="H14" s="250">
        <v>204</v>
      </c>
      <c r="I14" s="250">
        <v>345</v>
      </c>
      <c r="J14" s="269">
        <f t="shared" si="5"/>
        <v>591</v>
      </c>
      <c r="K14" s="258">
        <v>377</v>
      </c>
      <c r="L14" s="273">
        <v>602</v>
      </c>
      <c r="M14" s="280">
        <f t="shared" si="1"/>
        <v>17</v>
      </c>
      <c r="N14" s="281">
        <f t="shared" si="2"/>
        <v>-11</v>
      </c>
      <c r="O14" s="276">
        <f t="shared" si="3"/>
        <v>4.5092838196286469E-2</v>
      </c>
      <c r="P14" s="251">
        <f t="shared" si="4"/>
        <v>-1.8272425249169437E-2</v>
      </c>
    </row>
    <row r="15" spans="1:17" s="1" customFormat="1" ht="20.25">
      <c r="A15" s="255" t="s">
        <v>11</v>
      </c>
      <c r="B15" s="261" t="s">
        <v>55</v>
      </c>
      <c r="C15" s="258">
        <v>3</v>
      </c>
      <c r="D15" s="250">
        <v>5</v>
      </c>
      <c r="E15" s="250">
        <v>19</v>
      </c>
      <c r="F15" s="264">
        <f t="shared" si="0"/>
        <v>27</v>
      </c>
      <c r="G15" s="268">
        <v>1</v>
      </c>
      <c r="H15" s="250">
        <v>17</v>
      </c>
      <c r="I15" s="250">
        <v>26</v>
      </c>
      <c r="J15" s="269">
        <f t="shared" si="5"/>
        <v>44</v>
      </c>
      <c r="K15" s="258">
        <v>30</v>
      </c>
      <c r="L15" s="273">
        <v>45</v>
      </c>
      <c r="M15" s="280">
        <f t="shared" si="1"/>
        <v>-3</v>
      </c>
      <c r="N15" s="281">
        <f t="shared" si="2"/>
        <v>-1</v>
      </c>
      <c r="O15" s="276">
        <f t="shared" si="3"/>
        <v>-0.1</v>
      </c>
      <c r="P15" s="251">
        <f t="shared" si="4"/>
        <v>-2.2222222222222223E-2</v>
      </c>
    </row>
    <row r="16" spans="1:17" s="1" customFormat="1" ht="20.25">
      <c r="A16" s="255" t="s">
        <v>12</v>
      </c>
      <c r="B16" s="261" t="s">
        <v>54</v>
      </c>
      <c r="C16" s="258">
        <v>42</v>
      </c>
      <c r="D16" s="250">
        <v>158</v>
      </c>
      <c r="E16" s="250">
        <v>193</v>
      </c>
      <c r="F16" s="264">
        <f t="shared" si="0"/>
        <v>393</v>
      </c>
      <c r="G16" s="268">
        <v>57</v>
      </c>
      <c r="H16" s="250">
        <v>192</v>
      </c>
      <c r="I16" s="250">
        <v>141</v>
      </c>
      <c r="J16" s="269">
        <f t="shared" si="5"/>
        <v>390</v>
      </c>
      <c r="K16" s="258">
        <v>364</v>
      </c>
      <c r="L16" s="273">
        <v>390</v>
      </c>
      <c r="M16" s="280">
        <f t="shared" si="1"/>
        <v>29</v>
      </c>
      <c r="N16" s="281">
        <f t="shared" si="2"/>
        <v>0</v>
      </c>
      <c r="O16" s="276">
        <f t="shared" si="3"/>
        <v>7.9670329670329665E-2</v>
      </c>
      <c r="P16" s="251">
        <f t="shared" si="4"/>
        <v>0</v>
      </c>
    </row>
    <row r="17" spans="1:16" s="1" customFormat="1" ht="20.25">
      <c r="A17" s="255" t="s">
        <v>13</v>
      </c>
      <c r="B17" s="261" t="s">
        <v>55</v>
      </c>
      <c r="C17" s="258">
        <v>11</v>
      </c>
      <c r="D17" s="250">
        <v>31</v>
      </c>
      <c r="E17" s="250">
        <v>61</v>
      </c>
      <c r="F17" s="264">
        <f t="shared" si="0"/>
        <v>103</v>
      </c>
      <c r="G17" s="268">
        <v>8</v>
      </c>
      <c r="H17" s="250">
        <v>40</v>
      </c>
      <c r="I17" s="250">
        <v>63</v>
      </c>
      <c r="J17" s="269">
        <f t="shared" si="5"/>
        <v>111</v>
      </c>
      <c r="K17" s="258">
        <v>103</v>
      </c>
      <c r="L17" s="273">
        <v>112</v>
      </c>
      <c r="M17" s="280">
        <f t="shared" si="1"/>
        <v>0</v>
      </c>
      <c r="N17" s="281">
        <f t="shared" si="2"/>
        <v>-1</v>
      </c>
      <c r="O17" s="276">
        <f t="shared" si="3"/>
        <v>0</v>
      </c>
      <c r="P17" s="251">
        <f t="shared" si="4"/>
        <v>-8.9285714285714281E-3</v>
      </c>
    </row>
    <row r="18" spans="1:16" s="1" customFormat="1" ht="20.25">
      <c r="A18" s="255" t="s">
        <v>14</v>
      </c>
      <c r="B18" s="261" t="s">
        <v>56</v>
      </c>
      <c r="C18" s="258">
        <v>413</v>
      </c>
      <c r="D18" s="250">
        <v>2193</v>
      </c>
      <c r="E18" s="250">
        <v>2827</v>
      </c>
      <c r="F18" s="264">
        <f t="shared" si="0"/>
        <v>5433</v>
      </c>
      <c r="G18" s="268">
        <v>413</v>
      </c>
      <c r="H18" s="250">
        <v>2970</v>
      </c>
      <c r="I18" s="250">
        <v>3848</v>
      </c>
      <c r="J18" s="269">
        <f t="shared" si="5"/>
        <v>7231</v>
      </c>
      <c r="K18" s="258">
        <v>5275</v>
      </c>
      <c r="L18" s="273">
        <v>7140</v>
      </c>
      <c r="M18" s="280">
        <f t="shared" si="1"/>
        <v>158</v>
      </c>
      <c r="N18" s="281">
        <f t="shared" si="2"/>
        <v>91</v>
      </c>
      <c r="O18" s="276">
        <f t="shared" si="3"/>
        <v>2.9952606635071089E-2</v>
      </c>
      <c r="P18" s="251">
        <f t="shared" si="4"/>
        <v>1.2745098039215686E-2</v>
      </c>
    </row>
    <row r="19" spans="1:16" s="1" customFormat="1" ht="20.25">
      <c r="A19" s="255" t="s">
        <v>32</v>
      </c>
      <c r="B19" s="261" t="s">
        <v>55</v>
      </c>
      <c r="C19" s="258">
        <v>17</v>
      </c>
      <c r="D19" s="250">
        <v>33</v>
      </c>
      <c r="E19" s="250">
        <v>63</v>
      </c>
      <c r="F19" s="264">
        <f t="shared" si="0"/>
        <v>113</v>
      </c>
      <c r="G19" s="268">
        <v>13</v>
      </c>
      <c r="H19" s="250">
        <v>97</v>
      </c>
      <c r="I19" s="250">
        <v>97</v>
      </c>
      <c r="J19" s="269">
        <f t="shared" si="5"/>
        <v>207</v>
      </c>
      <c r="K19" s="258">
        <v>112</v>
      </c>
      <c r="L19" s="273">
        <v>221</v>
      </c>
      <c r="M19" s="280">
        <f t="shared" si="1"/>
        <v>1</v>
      </c>
      <c r="N19" s="281">
        <f t="shared" si="2"/>
        <v>-14</v>
      </c>
      <c r="O19" s="276">
        <f t="shared" si="3"/>
        <v>8.9285714285714281E-3</v>
      </c>
      <c r="P19" s="251">
        <f t="shared" si="4"/>
        <v>-6.3348416289592757E-2</v>
      </c>
    </row>
    <row r="20" spans="1:16" s="1" customFormat="1" ht="20.25">
      <c r="A20" s="255" t="s">
        <v>33</v>
      </c>
      <c r="B20" s="261" t="s">
        <v>56</v>
      </c>
      <c r="C20" s="258">
        <v>83</v>
      </c>
      <c r="D20" s="250">
        <v>386</v>
      </c>
      <c r="E20" s="250">
        <v>510</v>
      </c>
      <c r="F20" s="264">
        <f t="shared" si="0"/>
        <v>979</v>
      </c>
      <c r="G20" s="268">
        <v>91</v>
      </c>
      <c r="H20" s="250">
        <v>695</v>
      </c>
      <c r="I20" s="250">
        <v>689</v>
      </c>
      <c r="J20" s="269">
        <f t="shared" si="5"/>
        <v>1475</v>
      </c>
      <c r="K20" s="258">
        <v>1006</v>
      </c>
      <c r="L20" s="273">
        <v>1541</v>
      </c>
      <c r="M20" s="280">
        <f t="shared" si="1"/>
        <v>-27</v>
      </c>
      <c r="N20" s="281">
        <f t="shared" si="2"/>
        <v>-66</v>
      </c>
      <c r="O20" s="276">
        <f t="shared" si="3"/>
        <v>-2.6838966202783299E-2</v>
      </c>
      <c r="P20" s="251">
        <f t="shared" si="4"/>
        <v>-4.2829331602855292E-2</v>
      </c>
    </row>
    <row r="21" spans="1:16" s="1" customFormat="1" ht="20.25">
      <c r="A21" s="255" t="s">
        <v>34</v>
      </c>
      <c r="B21" s="261" t="s">
        <v>56</v>
      </c>
      <c r="C21" s="258">
        <v>453</v>
      </c>
      <c r="D21" s="250">
        <v>1709</v>
      </c>
      <c r="E21" s="250">
        <v>2199</v>
      </c>
      <c r="F21" s="264">
        <f t="shared" si="0"/>
        <v>4361</v>
      </c>
      <c r="G21" s="268">
        <v>475</v>
      </c>
      <c r="H21" s="250">
        <v>2951</v>
      </c>
      <c r="I21" s="250">
        <v>3410</v>
      </c>
      <c r="J21" s="269">
        <f t="shared" si="5"/>
        <v>6836</v>
      </c>
      <c r="K21" s="258">
        <v>4269</v>
      </c>
      <c r="L21" s="273">
        <v>6926</v>
      </c>
      <c r="M21" s="280">
        <f t="shared" si="1"/>
        <v>92</v>
      </c>
      <c r="N21" s="281">
        <f t="shared" si="2"/>
        <v>-90</v>
      </c>
      <c r="O21" s="276">
        <f t="shared" si="3"/>
        <v>2.1550714453033498E-2</v>
      </c>
      <c r="P21" s="251">
        <f t="shared" si="4"/>
        <v>-1.2994513427663876E-2</v>
      </c>
    </row>
    <row r="22" spans="1:16" s="1" customFormat="1" ht="20.25">
      <c r="A22" s="255" t="s">
        <v>15</v>
      </c>
      <c r="B22" s="261" t="s">
        <v>54</v>
      </c>
      <c r="C22" s="258">
        <v>112</v>
      </c>
      <c r="D22" s="250">
        <v>489</v>
      </c>
      <c r="E22" s="250">
        <v>509</v>
      </c>
      <c r="F22" s="264">
        <f t="shared" si="0"/>
        <v>1110</v>
      </c>
      <c r="G22" s="268">
        <v>115</v>
      </c>
      <c r="H22" s="250">
        <v>704</v>
      </c>
      <c r="I22" s="250">
        <v>683</v>
      </c>
      <c r="J22" s="269">
        <f t="shared" si="5"/>
        <v>1502</v>
      </c>
      <c r="K22" s="258">
        <v>1104</v>
      </c>
      <c r="L22" s="273">
        <v>1527</v>
      </c>
      <c r="M22" s="280">
        <f t="shared" si="1"/>
        <v>6</v>
      </c>
      <c r="N22" s="281">
        <f t="shared" si="2"/>
        <v>-25</v>
      </c>
      <c r="O22" s="276">
        <f t="shared" si="3"/>
        <v>5.434782608695652E-3</v>
      </c>
      <c r="P22" s="251">
        <f t="shared" si="4"/>
        <v>-1.6371971185330715E-2</v>
      </c>
    </row>
    <row r="23" spans="1:16" s="1" customFormat="1" ht="20.25">
      <c r="A23" s="255" t="s">
        <v>16</v>
      </c>
      <c r="B23" s="261" t="s">
        <v>55</v>
      </c>
      <c r="C23" s="258">
        <v>24</v>
      </c>
      <c r="D23" s="250">
        <v>97</v>
      </c>
      <c r="E23" s="250">
        <v>121</v>
      </c>
      <c r="F23" s="264">
        <f t="shared" si="0"/>
        <v>242</v>
      </c>
      <c r="G23" s="268">
        <v>28</v>
      </c>
      <c r="H23" s="250">
        <v>92</v>
      </c>
      <c r="I23" s="250">
        <v>45</v>
      </c>
      <c r="J23" s="269">
        <f t="shared" si="5"/>
        <v>165</v>
      </c>
      <c r="K23" s="258">
        <v>201</v>
      </c>
      <c r="L23" s="273">
        <v>162</v>
      </c>
      <c r="M23" s="280">
        <f t="shared" si="1"/>
        <v>41</v>
      </c>
      <c r="N23" s="281">
        <f t="shared" si="2"/>
        <v>3</v>
      </c>
      <c r="O23" s="276">
        <f t="shared" si="3"/>
        <v>0.20398009950248755</v>
      </c>
      <c r="P23" s="251">
        <f t="shared" si="4"/>
        <v>1.8518518518518517E-2</v>
      </c>
    </row>
    <row r="24" spans="1:16" s="1" customFormat="1" ht="20.25">
      <c r="A24" s="255" t="s">
        <v>17</v>
      </c>
      <c r="B24" s="261" t="s">
        <v>55</v>
      </c>
      <c r="C24" s="258">
        <v>8</v>
      </c>
      <c r="D24" s="250">
        <v>30</v>
      </c>
      <c r="E24" s="250">
        <v>65</v>
      </c>
      <c r="F24" s="264">
        <f t="shared" si="0"/>
        <v>103</v>
      </c>
      <c r="G24" s="268">
        <v>11</v>
      </c>
      <c r="H24" s="250">
        <v>33</v>
      </c>
      <c r="I24" s="250">
        <v>27</v>
      </c>
      <c r="J24" s="269">
        <f t="shared" si="5"/>
        <v>71</v>
      </c>
      <c r="K24" s="258">
        <v>102</v>
      </c>
      <c r="L24" s="273">
        <v>74</v>
      </c>
      <c r="M24" s="280">
        <f t="shared" si="1"/>
        <v>1</v>
      </c>
      <c r="N24" s="281">
        <f t="shared" si="2"/>
        <v>-3</v>
      </c>
      <c r="O24" s="276">
        <f t="shared" si="3"/>
        <v>9.8039215686274508E-3</v>
      </c>
      <c r="P24" s="251">
        <f t="shared" si="4"/>
        <v>-4.0540540540540543E-2</v>
      </c>
    </row>
    <row r="25" spans="1:16" s="1" customFormat="1" ht="20.25">
      <c r="A25" s="255" t="s">
        <v>18</v>
      </c>
      <c r="B25" s="261" t="s">
        <v>55</v>
      </c>
      <c r="C25" s="258">
        <v>5</v>
      </c>
      <c r="D25" s="250">
        <v>28</v>
      </c>
      <c r="E25" s="250">
        <v>49</v>
      </c>
      <c r="F25" s="264">
        <f t="shared" si="0"/>
        <v>82</v>
      </c>
      <c r="G25" s="268">
        <v>6</v>
      </c>
      <c r="H25" s="250">
        <v>40</v>
      </c>
      <c r="I25" s="250">
        <v>81</v>
      </c>
      <c r="J25" s="269">
        <f t="shared" si="5"/>
        <v>127</v>
      </c>
      <c r="K25" s="258">
        <v>86</v>
      </c>
      <c r="L25" s="273">
        <v>128</v>
      </c>
      <c r="M25" s="280">
        <f t="shared" si="1"/>
        <v>-4</v>
      </c>
      <c r="N25" s="281">
        <f t="shared" si="2"/>
        <v>-1</v>
      </c>
      <c r="O25" s="276">
        <f t="shared" si="3"/>
        <v>-4.6511627906976744E-2</v>
      </c>
      <c r="P25" s="251">
        <f t="shared" si="4"/>
        <v>-7.8125E-3</v>
      </c>
    </row>
    <row r="26" spans="1:16" s="1" customFormat="1" ht="20.25">
      <c r="A26" s="255" t="s">
        <v>114</v>
      </c>
      <c r="B26" s="261" t="s">
        <v>56</v>
      </c>
      <c r="C26" s="258">
        <v>1166</v>
      </c>
      <c r="D26" s="250">
        <v>4067</v>
      </c>
      <c r="E26" s="250">
        <v>5761</v>
      </c>
      <c r="F26" s="264">
        <f t="shared" si="0"/>
        <v>10994</v>
      </c>
      <c r="G26" s="268">
        <v>1060</v>
      </c>
      <c r="H26" s="250">
        <v>6627</v>
      </c>
      <c r="I26" s="250">
        <v>9723</v>
      </c>
      <c r="J26" s="269">
        <f t="shared" si="5"/>
        <v>17410</v>
      </c>
      <c r="K26" s="258">
        <v>10670</v>
      </c>
      <c r="L26" s="273">
        <v>17392</v>
      </c>
      <c r="M26" s="280">
        <f t="shared" si="1"/>
        <v>324</v>
      </c>
      <c r="N26" s="281">
        <f t="shared" si="2"/>
        <v>18</v>
      </c>
      <c r="O26" s="276">
        <f t="shared" si="3"/>
        <v>3.0365510777881913E-2</v>
      </c>
      <c r="P26" s="251">
        <f t="shared" si="4"/>
        <v>1.0349586016559337E-3</v>
      </c>
    </row>
    <row r="27" spans="1:16" s="1" customFormat="1" ht="20.25">
      <c r="A27" s="255" t="s">
        <v>127</v>
      </c>
      <c r="B27" s="261" t="s">
        <v>54</v>
      </c>
      <c r="C27" s="258">
        <v>36</v>
      </c>
      <c r="D27" s="250">
        <v>83</v>
      </c>
      <c r="E27" s="250">
        <v>137</v>
      </c>
      <c r="F27" s="264">
        <f t="shared" si="0"/>
        <v>256</v>
      </c>
      <c r="G27" s="268">
        <v>36</v>
      </c>
      <c r="H27" s="250">
        <v>211</v>
      </c>
      <c r="I27" s="250">
        <v>247</v>
      </c>
      <c r="J27" s="269">
        <f t="shared" si="5"/>
        <v>494</v>
      </c>
      <c r="K27" s="258">
        <v>260</v>
      </c>
      <c r="L27" s="273">
        <v>490</v>
      </c>
      <c r="M27" s="280">
        <f t="shared" si="1"/>
        <v>-4</v>
      </c>
      <c r="N27" s="281">
        <f t="shared" si="2"/>
        <v>4</v>
      </c>
      <c r="O27" s="276">
        <f t="shared" si="3"/>
        <v>-1.5384615384615385E-2</v>
      </c>
      <c r="P27" s="251">
        <f t="shared" si="4"/>
        <v>8.1632653061224497E-3</v>
      </c>
    </row>
    <row r="28" spans="1:16" s="1" customFormat="1" ht="20.25">
      <c r="A28" s="255" t="s">
        <v>35</v>
      </c>
      <c r="B28" s="261" t="s">
        <v>56</v>
      </c>
      <c r="C28" s="258">
        <v>460</v>
      </c>
      <c r="D28" s="250">
        <v>1662</v>
      </c>
      <c r="E28" s="250">
        <v>2016</v>
      </c>
      <c r="F28" s="264">
        <f t="shared" si="0"/>
        <v>4138</v>
      </c>
      <c r="G28" s="268">
        <v>504</v>
      </c>
      <c r="H28" s="250">
        <v>2408</v>
      </c>
      <c r="I28" s="250">
        <v>2580</v>
      </c>
      <c r="J28" s="269">
        <f t="shared" si="5"/>
        <v>5492</v>
      </c>
      <c r="K28" s="258">
        <v>4133</v>
      </c>
      <c r="L28" s="273">
        <v>5509</v>
      </c>
      <c r="M28" s="280">
        <f t="shared" si="1"/>
        <v>5</v>
      </c>
      <c r="N28" s="281">
        <f t="shared" si="2"/>
        <v>-17</v>
      </c>
      <c r="O28" s="276">
        <f t="shared" si="3"/>
        <v>1.2097749818533753E-3</v>
      </c>
      <c r="P28" s="251">
        <f t="shared" si="4"/>
        <v>-3.0858595026320565E-3</v>
      </c>
    </row>
    <row r="29" spans="1:16" s="1" customFormat="1" ht="20.25">
      <c r="A29" s="255" t="s">
        <v>36</v>
      </c>
      <c r="B29" s="261" t="s">
        <v>54</v>
      </c>
      <c r="C29" s="258">
        <v>65</v>
      </c>
      <c r="D29" s="250">
        <v>193</v>
      </c>
      <c r="E29" s="250">
        <v>338</v>
      </c>
      <c r="F29" s="264">
        <f t="shared" si="0"/>
        <v>596</v>
      </c>
      <c r="G29" s="268">
        <v>50</v>
      </c>
      <c r="H29" s="250">
        <v>457</v>
      </c>
      <c r="I29" s="250">
        <v>524</v>
      </c>
      <c r="J29" s="269">
        <f t="shared" si="5"/>
        <v>1031</v>
      </c>
      <c r="K29" s="258">
        <v>570</v>
      </c>
      <c r="L29" s="273">
        <v>1042</v>
      </c>
      <c r="M29" s="280">
        <f t="shared" si="1"/>
        <v>26</v>
      </c>
      <c r="N29" s="281">
        <f t="shared" si="2"/>
        <v>-11</v>
      </c>
      <c r="O29" s="276">
        <f t="shared" si="3"/>
        <v>4.5614035087719301E-2</v>
      </c>
      <c r="P29" s="251">
        <f t="shared" si="4"/>
        <v>-1.055662188099808E-2</v>
      </c>
    </row>
    <row r="30" spans="1:16" s="1" customFormat="1" ht="20.25">
      <c r="A30" s="255" t="s">
        <v>19</v>
      </c>
      <c r="B30" s="261" t="s">
        <v>54</v>
      </c>
      <c r="C30" s="258">
        <v>48</v>
      </c>
      <c r="D30" s="250">
        <v>115</v>
      </c>
      <c r="E30" s="250">
        <v>170</v>
      </c>
      <c r="F30" s="264">
        <f t="shared" si="0"/>
        <v>333</v>
      </c>
      <c r="G30" s="268">
        <v>33</v>
      </c>
      <c r="H30" s="250">
        <v>141</v>
      </c>
      <c r="I30" s="250">
        <v>128</v>
      </c>
      <c r="J30" s="269">
        <f t="shared" si="5"/>
        <v>302</v>
      </c>
      <c r="K30" s="258">
        <v>313</v>
      </c>
      <c r="L30" s="273">
        <v>304</v>
      </c>
      <c r="M30" s="280">
        <f t="shared" si="1"/>
        <v>20</v>
      </c>
      <c r="N30" s="281">
        <f t="shared" si="2"/>
        <v>-2</v>
      </c>
      <c r="O30" s="276">
        <f t="shared" si="3"/>
        <v>6.3897763578274758E-2</v>
      </c>
      <c r="P30" s="251">
        <f t="shared" si="4"/>
        <v>-6.5789473684210523E-3</v>
      </c>
    </row>
    <row r="31" spans="1:16" s="1" customFormat="1" ht="20.25">
      <c r="A31" s="255" t="s">
        <v>37</v>
      </c>
      <c r="B31" s="261" t="s">
        <v>54</v>
      </c>
      <c r="C31" s="258">
        <v>50</v>
      </c>
      <c r="D31" s="250">
        <v>136</v>
      </c>
      <c r="E31" s="250">
        <v>183</v>
      </c>
      <c r="F31" s="264">
        <f t="shared" si="0"/>
        <v>369</v>
      </c>
      <c r="G31" s="268">
        <v>33</v>
      </c>
      <c r="H31" s="250">
        <v>228</v>
      </c>
      <c r="I31" s="250">
        <v>231</v>
      </c>
      <c r="J31" s="269">
        <f t="shared" si="5"/>
        <v>492</v>
      </c>
      <c r="K31" s="258">
        <v>317</v>
      </c>
      <c r="L31" s="273">
        <v>503</v>
      </c>
      <c r="M31" s="280">
        <f t="shared" si="1"/>
        <v>52</v>
      </c>
      <c r="N31" s="281">
        <f t="shared" si="2"/>
        <v>-11</v>
      </c>
      <c r="O31" s="276">
        <f t="shared" si="3"/>
        <v>0.16403785488958991</v>
      </c>
      <c r="P31" s="251">
        <f t="shared" si="4"/>
        <v>-2.186878727634195E-2</v>
      </c>
    </row>
    <row r="32" spans="1:16" s="1" customFormat="1" ht="20.25">
      <c r="A32" s="255" t="s">
        <v>38</v>
      </c>
      <c r="B32" s="261" t="s">
        <v>54</v>
      </c>
      <c r="C32" s="258">
        <v>24</v>
      </c>
      <c r="D32" s="250">
        <v>101</v>
      </c>
      <c r="E32" s="250">
        <v>208</v>
      </c>
      <c r="F32" s="264">
        <f t="shared" si="0"/>
        <v>333</v>
      </c>
      <c r="G32" s="268">
        <v>25</v>
      </c>
      <c r="H32" s="250">
        <v>172</v>
      </c>
      <c r="I32" s="250">
        <v>245</v>
      </c>
      <c r="J32" s="269">
        <f t="shared" si="5"/>
        <v>442</v>
      </c>
      <c r="K32" s="258">
        <v>328</v>
      </c>
      <c r="L32" s="273">
        <v>438</v>
      </c>
      <c r="M32" s="280">
        <f t="shared" si="1"/>
        <v>5</v>
      </c>
      <c r="N32" s="281">
        <f t="shared" si="2"/>
        <v>4</v>
      </c>
      <c r="O32" s="276">
        <f t="shared" si="3"/>
        <v>1.524390243902439E-2</v>
      </c>
      <c r="P32" s="251">
        <f t="shared" si="4"/>
        <v>9.1324200913242004E-3</v>
      </c>
    </row>
    <row r="33" spans="1:16" s="1" customFormat="1" ht="20.25">
      <c r="A33" s="255" t="s">
        <v>39</v>
      </c>
      <c r="B33" s="261" t="s">
        <v>56</v>
      </c>
      <c r="C33" s="258">
        <v>347</v>
      </c>
      <c r="D33" s="250">
        <v>1581</v>
      </c>
      <c r="E33" s="250">
        <v>2097</v>
      </c>
      <c r="F33" s="264">
        <f t="shared" si="0"/>
        <v>4025</v>
      </c>
      <c r="G33" s="268">
        <v>314</v>
      </c>
      <c r="H33" s="250">
        <v>2507</v>
      </c>
      <c r="I33" s="250">
        <v>3400</v>
      </c>
      <c r="J33" s="269">
        <f t="shared" si="5"/>
        <v>6221</v>
      </c>
      <c r="K33" s="258">
        <v>4034</v>
      </c>
      <c r="L33" s="273">
        <v>6280</v>
      </c>
      <c r="M33" s="280">
        <f t="shared" si="1"/>
        <v>-9</v>
      </c>
      <c r="N33" s="281">
        <f t="shared" si="2"/>
        <v>-59</v>
      </c>
      <c r="O33" s="276">
        <f t="shared" si="3"/>
        <v>-2.2310361923648984E-3</v>
      </c>
      <c r="P33" s="251">
        <f t="shared" si="4"/>
        <v>-9.3949044585987258E-3</v>
      </c>
    </row>
    <row r="34" spans="1:16" s="1" customFormat="1" ht="20.25">
      <c r="A34" s="255" t="s">
        <v>40</v>
      </c>
      <c r="B34" s="261" t="s">
        <v>56</v>
      </c>
      <c r="C34" s="258">
        <v>213</v>
      </c>
      <c r="D34" s="250">
        <v>894</v>
      </c>
      <c r="E34" s="250">
        <v>1100</v>
      </c>
      <c r="F34" s="264">
        <f t="shared" si="0"/>
        <v>2207</v>
      </c>
      <c r="G34" s="268">
        <v>180</v>
      </c>
      <c r="H34" s="250">
        <v>1321</v>
      </c>
      <c r="I34" s="250">
        <v>1604</v>
      </c>
      <c r="J34" s="269">
        <f t="shared" si="5"/>
        <v>3105</v>
      </c>
      <c r="K34" s="258">
        <v>2138</v>
      </c>
      <c r="L34" s="273">
        <v>3034</v>
      </c>
      <c r="M34" s="280">
        <f t="shared" si="1"/>
        <v>69</v>
      </c>
      <c r="N34" s="281">
        <f t="shared" si="2"/>
        <v>71</v>
      </c>
      <c r="O34" s="276">
        <f t="shared" si="3"/>
        <v>3.2273152478952294E-2</v>
      </c>
      <c r="P34" s="251">
        <f t="shared" si="4"/>
        <v>2.3401450230718525E-2</v>
      </c>
    </row>
    <row r="35" spans="1:16" s="1" customFormat="1" ht="20.25">
      <c r="A35" s="255" t="s">
        <v>41</v>
      </c>
      <c r="B35" s="261" t="s">
        <v>54</v>
      </c>
      <c r="C35" s="258">
        <v>58</v>
      </c>
      <c r="D35" s="250">
        <v>125</v>
      </c>
      <c r="E35" s="250">
        <v>127</v>
      </c>
      <c r="F35" s="264">
        <f t="shared" si="0"/>
        <v>310</v>
      </c>
      <c r="G35" s="268">
        <v>58</v>
      </c>
      <c r="H35" s="250">
        <v>110</v>
      </c>
      <c r="I35" s="250">
        <v>66</v>
      </c>
      <c r="J35" s="269">
        <f t="shared" si="5"/>
        <v>234</v>
      </c>
      <c r="K35" s="258">
        <v>299</v>
      </c>
      <c r="L35" s="273">
        <v>243</v>
      </c>
      <c r="M35" s="280">
        <f t="shared" si="1"/>
        <v>11</v>
      </c>
      <c r="N35" s="281">
        <f t="shared" si="2"/>
        <v>-9</v>
      </c>
      <c r="O35" s="276">
        <f t="shared" si="3"/>
        <v>3.678929765886288E-2</v>
      </c>
      <c r="P35" s="251">
        <f t="shared" si="4"/>
        <v>-3.7037037037037035E-2</v>
      </c>
    </row>
    <row r="36" spans="1:16" s="1" customFormat="1" ht="20.25">
      <c r="A36" s="255" t="s">
        <v>20</v>
      </c>
      <c r="B36" s="261" t="s">
        <v>56</v>
      </c>
      <c r="C36" s="258">
        <v>107</v>
      </c>
      <c r="D36" s="250">
        <v>485</v>
      </c>
      <c r="E36" s="250">
        <v>568</v>
      </c>
      <c r="F36" s="264">
        <f t="shared" si="0"/>
        <v>1160</v>
      </c>
      <c r="G36" s="268">
        <v>112</v>
      </c>
      <c r="H36" s="250">
        <v>784</v>
      </c>
      <c r="I36" s="250">
        <v>963</v>
      </c>
      <c r="J36" s="269">
        <f t="shared" si="5"/>
        <v>1859</v>
      </c>
      <c r="K36" s="258">
        <v>1179</v>
      </c>
      <c r="L36" s="273">
        <v>1893</v>
      </c>
      <c r="M36" s="280">
        <f t="shared" si="1"/>
        <v>-19</v>
      </c>
      <c r="N36" s="281">
        <f t="shared" si="2"/>
        <v>-34</v>
      </c>
      <c r="O36" s="276">
        <f t="shared" si="3"/>
        <v>-1.6115351993214587E-2</v>
      </c>
      <c r="P36" s="251">
        <f t="shared" si="4"/>
        <v>-1.7960908610670893E-2</v>
      </c>
    </row>
    <row r="37" spans="1:16" s="1" customFormat="1" ht="20.25">
      <c r="A37" s="255" t="s">
        <v>21</v>
      </c>
      <c r="B37" s="261" t="s">
        <v>56</v>
      </c>
      <c r="C37" s="258">
        <v>420</v>
      </c>
      <c r="D37" s="250">
        <v>1712</v>
      </c>
      <c r="E37" s="250">
        <v>2191</v>
      </c>
      <c r="F37" s="264">
        <f t="shared" si="0"/>
        <v>4323</v>
      </c>
      <c r="G37" s="268">
        <v>428</v>
      </c>
      <c r="H37" s="250">
        <v>2898</v>
      </c>
      <c r="I37" s="250">
        <v>3722</v>
      </c>
      <c r="J37" s="269">
        <f t="shared" si="5"/>
        <v>7048</v>
      </c>
      <c r="K37" s="258">
        <v>4229</v>
      </c>
      <c r="L37" s="273">
        <v>7036</v>
      </c>
      <c r="M37" s="280">
        <f t="shared" si="1"/>
        <v>94</v>
      </c>
      <c r="N37" s="281">
        <f t="shared" si="2"/>
        <v>12</v>
      </c>
      <c r="O37" s="276">
        <f t="shared" si="3"/>
        <v>2.2227476944904234E-2</v>
      </c>
      <c r="P37" s="251">
        <f t="shared" si="4"/>
        <v>1.7055144968732233E-3</v>
      </c>
    </row>
    <row r="38" spans="1:16" s="1" customFormat="1" ht="20.25">
      <c r="A38" s="255" t="s">
        <v>128</v>
      </c>
      <c r="B38" s="261" t="s">
        <v>56</v>
      </c>
      <c r="C38" s="258">
        <v>371</v>
      </c>
      <c r="D38" s="250">
        <v>1490</v>
      </c>
      <c r="E38" s="250">
        <v>1813</v>
      </c>
      <c r="F38" s="264">
        <f t="shared" si="0"/>
        <v>3674</v>
      </c>
      <c r="G38" s="268">
        <v>339</v>
      </c>
      <c r="H38" s="250">
        <v>2303</v>
      </c>
      <c r="I38" s="250">
        <v>2658</v>
      </c>
      <c r="J38" s="269">
        <f t="shared" si="5"/>
        <v>5300</v>
      </c>
      <c r="K38" s="258">
        <v>3511</v>
      </c>
      <c r="L38" s="273">
        <v>5249</v>
      </c>
      <c r="M38" s="280">
        <f t="shared" si="1"/>
        <v>163</v>
      </c>
      <c r="N38" s="281">
        <f t="shared" si="2"/>
        <v>51</v>
      </c>
      <c r="O38" s="276">
        <f t="shared" si="3"/>
        <v>4.6425519794930217E-2</v>
      </c>
      <c r="P38" s="251">
        <f t="shared" si="4"/>
        <v>9.7161364069346546E-3</v>
      </c>
    </row>
    <row r="39" spans="1:16" s="1" customFormat="1" ht="20.25">
      <c r="A39" s="255" t="s">
        <v>42</v>
      </c>
      <c r="B39" s="261" t="s">
        <v>55</v>
      </c>
      <c r="C39" s="258">
        <v>24</v>
      </c>
      <c r="D39" s="250">
        <v>74</v>
      </c>
      <c r="E39" s="250">
        <v>125</v>
      </c>
      <c r="F39" s="264">
        <f t="shared" si="0"/>
        <v>223</v>
      </c>
      <c r="G39" s="268">
        <v>31</v>
      </c>
      <c r="H39" s="250">
        <v>139</v>
      </c>
      <c r="I39" s="250">
        <v>135</v>
      </c>
      <c r="J39" s="269">
        <f t="shared" si="5"/>
        <v>305</v>
      </c>
      <c r="K39" s="258">
        <v>220</v>
      </c>
      <c r="L39" s="273">
        <v>300</v>
      </c>
      <c r="M39" s="280">
        <f t="shared" si="1"/>
        <v>3</v>
      </c>
      <c r="N39" s="281">
        <f t="shared" si="2"/>
        <v>5</v>
      </c>
      <c r="O39" s="276">
        <f t="shared" si="3"/>
        <v>1.3636363636363636E-2</v>
      </c>
      <c r="P39" s="251">
        <f t="shared" si="4"/>
        <v>1.6666666666666666E-2</v>
      </c>
    </row>
    <row r="40" spans="1:16" s="1" customFormat="1" ht="20.25">
      <c r="A40" s="255" t="s">
        <v>126</v>
      </c>
      <c r="B40" s="261" t="s">
        <v>55</v>
      </c>
      <c r="C40" s="258">
        <v>6</v>
      </c>
      <c r="D40" s="250">
        <v>48</v>
      </c>
      <c r="E40" s="250">
        <v>72</v>
      </c>
      <c r="F40" s="264">
        <f t="shared" si="0"/>
        <v>126</v>
      </c>
      <c r="G40" s="268">
        <v>3</v>
      </c>
      <c r="H40" s="250">
        <v>63</v>
      </c>
      <c r="I40" s="250">
        <v>64</v>
      </c>
      <c r="J40" s="269">
        <f t="shared" si="5"/>
        <v>130</v>
      </c>
      <c r="K40" s="258">
        <v>131</v>
      </c>
      <c r="L40" s="273">
        <v>135</v>
      </c>
      <c r="M40" s="280">
        <f t="shared" si="1"/>
        <v>-5</v>
      </c>
      <c r="N40" s="281">
        <f t="shared" si="2"/>
        <v>-5</v>
      </c>
      <c r="O40" s="276">
        <f t="shared" ref="O40" si="6">IFERROR(M40/K40,0)</f>
        <v>-3.8167938931297711E-2</v>
      </c>
      <c r="P40" s="251">
        <f t="shared" ref="P40" si="7">IFERROR(N40/L40,0)</f>
        <v>-3.7037037037037035E-2</v>
      </c>
    </row>
    <row r="41" spans="1:16" s="1" customFormat="1" ht="20.25">
      <c r="A41" s="255" t="s">
        <v>22</v>
      </c>
      <c r="B41" s="261" t="s">
        <v>56</v>
      </c>
      <c r="C41" s="258">
        <v>159</v>
      </c>
      <c r="D41" s="250">
        <v>579</v>
      </c>
      <c r="E41" s="250">
        <v>702</v>
      </c>
      <c r="F41" s="264">
        <f t="shared" si="0"/>
        <v>1440</v>
      </c>
      <c r="G41" s="268">
        <v>140</v>
      </c>
      <c r="H41" s="250">
        <v>975</v>
      </c>
      <c r="I41" s="250">
        <v>1037</v>
      </c>
      <c r="J41" s="269">
        <f t="shared" si="5"/>
        <v>2152</v>
      </c>
      <c r="K41" s="258">
        <v>1429</v>
      </c>
      <c r="L41" s="273">
        <v>2155</v>
      </c>
      <c r="M41" s="280">
        <f t="shared" si="1"/>
        <v>11</v>
      </c>
      <c r="N41" s="281">
        <f t="shared" si="2"/>
        <v>-3</v>
      </c>
      <c r="O41" s="276">
        <f t="shared" si="3"/>
        <v>7.6976906927921623E-3</v>
      </c>
      <c r="P41" s="251">
        <f t="shared" si="4"/>
        <v>-1.3921113689095127E-3</v>
      </c>
    </row>
    <row r="42" spans="1:16" s="1" customFormat="1" ht="20.25">
      <c r="A42" s="255" t="s">
        <v>43</v>
      </c>
      <c r="B42" s="261" t="s">
        <v>55</v>
      </c>
      <c r="C42" s="258">
        <v>7</v>
      </c>
      <c r="D42" s="250">
        <v>36</v>
      </c>
      <c r="E42" s="250">
        <v>64</v>
      </c>
      <c r="F42" s="264">
        <f t="shared" si="0"/>
        <v>107</v>
      </c>
      <c r="G42" s="268">
        <v>7</v>
      </c>
      <c r="H42" s="250">
        <v>55</v>
      </c>
      <c r="I42" s="250">
        <v>39</v>
      </c>
      <c r="J42" s="269">
        <f t="shared" si="5"/>
        <v>101</v>
      </c>
      <c r="K42" s="258">
        <v>105</v>
      </c>
      <c r="L42" s="273">
        <v>104</v>
      </c>
      <c r="M42" s="280">
        <f t="shared" si="1"/>
        <v>2</v>
      </c>
      <c r="N42" s="281">
        <f t="shared" si="2"/>
        <v>-3</v>
      </c>
      <c r="O42" s="276">
        <f t="shared" si="3"/>
        <v>1.9047619047619049E-2</v>
      </c>
      <c r="P42" s="251">
        <f t="shared" si="4"/>
        <v>-2.8846153846153848E-2</v>
      </c>
    </row>
    <row r="43" spans="1:16" s="1" customFormat="1" ht="20.25">
      <c r="A43" s="255" t="s">
        <v>23</v>
      </c>
      <c r="B43" s="261" t="s">
        <v>54</v>
      </c>
      <c r="C43" s="258">
        <v>81</v>
      </c>
      <c r="D43" s="250">
        <v>315</v>
      </c>
      <c r="E43" s="250">
        <v>333</v>
      </c>
      <c r="F43" s="264">
        <f t="shared" si="0"/>
        <v>729</v>
      </c>
      <c r="G43" s="268">
        <v>59</v>
      </c>
      <c r="H43" s="250">
        <v>473</v>
      </c>
      <c r="I43" s="250">
        <v>599</v>
      </c>
      <c r="J43" s="269">
        <f t="shared" si="5"/>
        <v>1131</v>
      </c>
      <c r="K43" s="258">
        <v>782</v>
      </c>
      <c r="L43" s="273">
        <v>1188</v>
      </c>
      <c r="M43" s="280">
        <f t="shared" si="1"/>
        <v>-53</v>
      </c>
      <c r="N43" s="281">
        <f t="shared" si="2"/>
        <v>-57</v>
      </c>
      <c r="O43" s="276">
        <f t="shared" si="3"/>
        <v>-6.7774936061381075E-2</v>
      </c>
      <c r="P43" s="251">
        <f t="shared" si="4"/>
        <v>-4.7979797979797977E-2</v>
      </c>
    </row>
    <row r="44" spans="1:16" s="1" customFormat="1" ht="20.25">
      <c r="A44" s="255" t="s">
        <v>44</v>
      </c>
      <c r="B44" s="261" t="s">
        <v>55</v>
      </c>
      <c r="C44" s="258">
        <v>5</v>
      </c>
      <c r="D44" s="250">
        <v>16</v>
      </c>
      <c r="E44" s="250">
        <v>26</v>
      </c>
      <c r="F44" s="264">
        <f t="shared" si="0"/>
        <v>47</v>
      </c>
      <c r="G44" s="268">
        <v>6</v>
      </c>
      <c r="H44" s="250">
        <v>22</v>
      </c>
      <c r="I44" s="250">
        <v>10</v>
      </c>
      <c r="J44" s="269">
        <f t="shared" si="5"/>
        <v>38</v>
      </c>
      <c r="K44" s="258">
        <v>43</v>
      </c>
      <c r="L44" s="273">
        <v>36</v>
      </c>
      <c r="M44" s="280">
        <f t="shared" si="1"/>
        <v>4</v>
      </c>
      <c r="N44" s="281">
        <f t="shared" si="2"/>
        <v>2</v>
      </c>
      <c r="O44" s="276">
        <f t="shared" si="3"/>
        <v>9.3023255813953487E-2</v>
      </c>
      <c r="P44" s="251">
        <f t="shared" si="4"/>
        <v>5.5555555555555552E-2</v>
      </c>
    </row>
    <row r="45" spans="1:16" s="1" customFormat="1" ht="20.25">
      <c r="A45" s="255" t="s">
        <v>24</v>
      </c>
      <c r="B45" s="261" t="s">
        <v>54</v>
      </c>
      <c r="C45" s="258">
        <v>48</v>
      </c>
      <c r="D45" s="250">
        <v>170</v>
      </c>
      <c r="E45" s="250">
        <v>158</v>
      </c>
      <c r="F45" s="264">
        <f t="shared" si="0"/>
        <v>376</v>
      </c>
      <c r="G45" s="268">
        <v>34</v>
      </c>
      <c r="H45" s="250">
        <v>182</v>
      </c>
      <c r="I45" s="250">
        <v>106</v>
      </c>
      <c r="J45" s="269">
        <f t="shared" si="5"/>
        <v>322</v>
      </c>
      <c r="K45" s="258">
        <v>332</v>
      </c>
      <c r="L45" s="273">
        <v>310</v>
      </c>
      <c r="M45" s="280">
        <f t="shared" si="1"/>
        <v>44</v>
      </c>
      <c r="N45" s="281">
        <f t="shared" si="2"/>
        <v>12</v>
      </c>
      <c r="O45" s="276">
        <f t="shared" si="3"/>
        <v>0.13253012048192772</v>
      </c>
      <c r="P45" s="251">
        <f t="shared" si="4"/>
        <v>3.870967741935484E-2</v>
      </c>
    </row>
    <row r="46" spans="1:16" s="1" customFormat="1" ht="20.25">
      <c r="A46" s="255" t="s">
        <v>25</v>
      </c>
      <c r="B46" s="261" t="s">
        <v>54</v>
      </c>
      <c r="C46" s="258">
        <v>48</v>
      </c>
      <c r="D46" s="250">
        <v>218</v>
      </c>
      <c r="E46" s="250">
        <v>426</v>
      </c>
      <c r="F46" s="264">
        <f t="shared" si="0"/>
        <v>692</v>
      </c>
      <c r="G46" s="268">
        <v>42</v>
      </c>
      <c r="H46" s="250">
        <v>359</v>
      </c>
      <c r="I46" s="250">
        <v>677</v>
      </c>
      <c r="J46" s="269">
        <f t="shared" si="5"/>
        <v>1078</v>
      </c>
      <c r="K46" s="258">
        <v>685</v>
      </c>
      <c r="L46" s="273">
        <v>1094</v>
      </c>
      <c r="M46" s="280">
        <f t="shared" si="1"/>
        <v>7</v>
      </c>
      <c r="N46" s="281">
        <f t="shared" si="2"/>
        <v>-16</v>
      </c>
      <c r="O46" s="276">
        <f t="shared" si="3"/>
        <v>1.0218978102189781E-2</v>
      </c>
      <c r="P46" s="251">
        <f t="shared" si="4"/>
        <v>-1.4625228519195612E-2</v>
      </c>
    </row>
    <row r="47" spans="1:16" s="1" customFormat="1" ht="20.25">
      <c r="A47" s="255" t="s">
        <v>45</v>
      </c>
      <c r="B47" s="261" t="s">
        <v>54</v>
      </c>
      <c r="C47" s="258">
        <v>62</v>
      </c>
      <c r="D47" s="250">
        <v>272</v>
      </c>
      <c r="E47" s="250">
        <v>407</v>
      </c>
      <c r="F47" s="264">
        <f t="shared" si="0"/>
        <v>741</v>
      </c>
      <c r="G47" s="268">
        <v>62</v>
      </c>
      <c r="H47" s="250">
        <v>467</v>
      </c>
      <c r="I47" s="250">
        <v>575</v>
      </c>
      <c r="J47" s="269">
        <f t="shared" si="5"/>
        <v>1104</v>
      </c>
      <c r="K47" s="258">
        <v>735</v>
      </c>
      <c r="L47" s="273">
        <v>1124</v>
      </c>
      <c r="M47" s="280">
        <f t="shared" si="1"/>
        <v>6</v>
      </c>
      <c r="N47" s="281">
        <f t="shared" si="2"/>
        <v>-20</v>
      </c>
      <c r="O47" s="276">
        <f t="shared" si="3"/>
        <v>8.1632653061224497E-3</v>
      </c>
      <c r="P47" s="251">
        <f t="shared" si="4"/>
        <v>-1.7793594306049824E-2</v>
      </c>
    </row>
    <row r="48" spans="1:16" s="1" customFormat="1" ht="20.25">
      <c r="A48" s="255" t="s">
        <v>46</v>
      </c>
      <c r="B48" s="261" t="s">
        <v>55</v>
      </c>
      <c r="C48" s="258">
        <v>1</v>
      </c>
      <c r="D48" s="250">
        <v>4</v>
      </c>
      <c r="E48" s="250">
        <v>9</v>
      </c>
      <c r="F48" s="264">
        <f t="shared" si="0"/>
        <v>14</v>
      </c>
      <c r="G48" s="268">
        <v>2</v>
      </c>
      <c r="H48" s="250">
        <v>10</v>
      </c>
      <c r="I48" s="250">
        <v>15</v>
      </c>
      <c r="J48" s="269">
        <f t="shared" si="5"/>
        <v>27</v>
      </c>
      <c r="K48" s="258">
        <v>16</v>
      </c>
      <c r="L48" s="273">
        <v>27</v>
      </c>
      <c r="M48" s="280">
        <f t="shared" si="1"/>
        <v>-2</v>
      </c>
      <c r="N48" s="281">
        <f t="shared" si="2"/>
        <v>0</v>
      </c>
      <c r="O48" s="276">
        <f t="shared" si="3"/>
        <v>-0.125</v>
      </c>
      <c r="P48" s="251">
        <f t="shared" si="4"/>
        <v>0</v>
      </c>
    </row>
    <row r="49" spans="1:16" s="1" customFormat="1" ht="20.25">
      <c r="A49" s="255" t="s">
        <v>26</v>
      </c>
      <c r="B49" s="261" t="s">
        <v>54</v>
      </c>
      <c r="C49" s="258">
        <v>131</v>
      </c>
      <c r="D49" s="250">
        <v>299</v>
      </c>
      <c r="E49" s="250">
        <v>407</v>
      </c>
      <c r="F49" s="264">
        <f t="shared" si="0"/>
        <v>837</v>
      </c>
      <c r="G49" s="268">
        <v>111</v>
      </c>
      <c r="H49" s="250">
        <v>407</v>
      </c>
      <c r="I49" s="250">
        <v>370</v>
      </c>
      <c r="J49" s="269">
        <f t="shared" si="5"/>
        <v>888</v>
      </c>
      <c r="K49" s="258">
        <v>754</v>
      </c>
      <c r="L49" s="273">
        <v>874</v>
      </c>
      <c r="M49" s="280">
        <f t="shared" si="1"/>
        <v>83</v>
      </c>
      <c r="N49" s="281">
        <f t="shared" si="2"/>
        <v>14</v>
      </c>
      <c r="O49" s="276">
        <f t="shared" si="3"/>
        <v>0.11007957559681697</v>
      </c>
      <c r="P49" s="251">
        <f t="shared" si="4"/>
        <v>1.6018306636155607E-2</v>
      </c>
    </row>
    <row r="50" spans="1:16" s="1" customFormat="1" ht="21" thickBot="1">
      <c r="A50" s="256" t="s">
        <v>47</v>
      </c>
      <c r="B50" s="262" t="s">
        <v>55</v>
      </c>
      <c r="C50" s="259">
        <v>13</v>
      </c>
      <c r="D50" s="252">
        <v>31</v>
      </c>
      <c r="E50" s="252">
        <v>28</v>
      </c>
      <c r="F50" s="265">
        <f t="shared" si="0"/>
        <v>72</v>
      </c>
      <c r="G50" s="270">
        <v>5</v>
      </c>
      <c r="H50" s="252">
        <v>19</v>
      </c>
      <c r="I50" s="252">
        <v>24</v>
      </c>
      <c r="J50" s="271">
        <f t="shared" si="5"/>
        <v>48</v>
      </c>
      <c r="K50" s="259">
        <v>70</v>
      </c>
      <c r="L50" s="274">
        <v>45</v>
      </c>
      <c r="M50" s="282">
        <f t="shared" si="1"/>
        <v>2</v>
      </c>
      <c r="N50" s="283">
        <f t="shared" si="2"/>
        <v>3</v>
      </c>
      <c r="O50" s="277">
        <f t="shared" si="3"/>
        <v>2.8571428571428571E-2</v>
      </c>
      <c r="P50" s="253">
        <f t="shared" si="4"/>
        <v>6.6666666666666666E-2</v>
      </c>
    </row>
    <row r="51" spans="1:16" ht="24" thickTop="1" thickBot="1">
      <c r="A51" s="187" t="s">
        <v>48</v>
      </c>
      <c r="B51" s="192"/>
      <c r="C51" s="244">
        <f t="shared" ref="C51:N51" si="8">SUM(C6:C50)</f>
        <v>6460</v>
      </c>
      <c r="D51" s="244">
        <f t="shared" si="8"/>
        <v>24393</v>
      </c>
      <c r="E51" s="244">
        <f t="shared" si="8"/>
        <v>31715</v>
      </c>
      <c r="F51" s="244">
        <f t="shared" si="8"/>
        <v>62568</v>
      </c>
      <c r="G51" s="244">
        <f t="shared" si="8"/>
        <v>6219</v>
      </c>
      <c r="H51" s="244">
        <f t="shared" si="8"/>
        <v>38953</v>
      </c>
      <c r="I51" s="244">
        <f t="shared" si="8"/>
        <v>47581</v>
      </c>
      <c r="J51" s="244">
        <f t="shared" si="8"/>
        <v>92753</v>
      </c>
      <c r="K51" s="245">
        <f t="shared" si="8"/>
        <v>61200</v>
      </c>
      <c r="L51" s="245">
        <f t="shared" si="8"/>
        <v>93125</v>
      </c>
      <c r="M51" s="244">
        <f t="shared" si="8"/>
        <v>1368</v>
      </c>
      <c r="N51" s="244">
        <f t="shared" si="8"/>
        <v>-372</v>
      </c>
      <c r="O51" s="246">
        <f>IFERROR(M51/K51,0)</f>
        <v>2.2352941176470589E-2</v>
      </c>
      <c r="P51" s="247">
        <f>IFERROR(N51/L51,0)</f>
        <v>-3.9946308724832218E-3</v>
      </c>
    </row>
    <row r="52" spans="1:16" ht="15.75" thickTop="1"/>
  </sheetData>
  <sheetProtection password="D3D2" sheet="1" objects="1" scenarios="1"/>
  <mergeCells count="13">
    <mergeCell ref="B1:P1"/>
    <mergeCell ref="A3:A5"/>
    <mergeCell ref="B3:B5"/>
    <mergeCell ref="C4:F4"/>
    <mergeCell ref="G4:J4"/>
    <mergeCell ref="O2:P2"/>
    <mergeCell ref="C2:N2"/>
    <mergeCell ref="K4:L4"/>
    <mergeCell ref="K3:L3"/>
    <mergeCell ref="C3:F3"/>
    <mergeCell ref="G3:J3"/>
    <mergeCell ref="M3:N4"/>
    <mergeCell ref="O3:P4"/>
  </mergeCells>
  <conditionalFormatting sqref="M6:P50">
    <cfRule type="expression" dxfId="41" priority="19">
      <formula>M6=IF($B6="Entre 5000-20000",MAX(IF(($B$6:$B$50="Entre 5000-20000"),M$6:M$50,"")))</formula>
    </cfRule>
    <cfRule type="expression" dxfId="40" priority="20">
      <formula>M6=IF($B6="Entre 5000-20000",MIN(IF(($B$6:$B$50="Entre 5000-20000"),M$6:M$50,"")))</formula>
    </cfRule>
    <cfRule type="expression" dxfId="39" priority="21">
      <formula>M6=IF($B6="Menor 5000",MAX(IF(($B$6:$B$50="Menor 5000"),M$6:M$50,"")))</formula>
    </cfRule>
    <cfRule type="expression" dxfId="38" priority="22">
      <formula>M6=IF($B6="Menor 5000",MIN(IF(($B$6:$B$50="Menor 5000"),M$6:M$50,"")))</formula>
    </cfRule>
    <cfRule type="expression" dxfId="37" priority="23">
      <formula>M6=IF($B6="Mayor 20000",MAX(IF(($B$6:$B$50="Mayor 20000"),M$6:M$50,"")))</formula>
    </cfRule>
    <cfRule type="expression" dxfId="36" priority="24">
      <formula>M6=IF($B6="Mayor 20000",MIN(IF(($B$6:$B$50="Mayor 20000"),M$6:M$50,"")))</formula>
    </cfRule>
  </conditionalFormatting>
  <printOptions horizontalCentered="1"/>
  <pageMargins left="0.51181102362204722" right="0.51181102362204722" top="0.55118110236220474" bottom="0.55118110236220474" header="0" footer="0.19685039370078741"/>
  <pageSetup paperSize="9" scale="48" orientation="landscape" r:id="rId1"/>
  <headerFooter>
    <oddFooter>&amp;L&amp;"Rockwell,Normal"&amp;12&amp;K04-011Fuentes: Servicio Público de Empleo Estatal
Informe elaborado por el IEDT. Diputación de Cádiz&amp;R&amp;"Rockwell,Normal"&amp;12 &amp;K04-0135 de 8</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O51"/>
  <sheetViews>
    <sheetView showGridLines="0" tabSelected="1" view="pageLayout" topLeftCell="B16" zoomScale="76" zoomScaleNormal="72" zoomScalePageLayoutView="76" workbookViewId="0">
      <selection activeCell="H13" sqref="H13"/>
    </sheetView>
  </sheetViews>
  <sheetFormatPr baseColWidth="10" defaultRowHeight="15"/>
  <cols>
    <col min="1" max="1" width="53.5703125" customWidth="1"/>
    <col min="2" max="2" width="24.85546875" customWidth="1"/>
    <col min="3" max="14" width="17.42578125" customWidth="1"/>
    <col min="15" max="15" width="0" hidden="1" customWidth="1"/>
  </cols>
  <sheetData>
    <row r="1" spans="1:15" ht="38.25" customHeight="1" thickTop="1" thickBot="1">
      <c r="B1" s="366" t="s">
        <v>65</v>
      </c>
      <c r="C1" s="367"/>
      <c r="D1" s="367"/>
      <c r="E1" s="367"/>
      <c r="F1" s="367"/>
      <c r="G1" s="367"/>
      <c r="H1" s="367"/>
      <c r="I1" s="367"/>
      <c r="J1" s="367"/>
      <c r="K1" s="367"/>
      <c r="L1" s="367"/>
      <c r="M1" s="367"/>
      <c r="N1" s="368"/>
    </row>
    <row r="2" spans="1:15" ht="28.5" thickTop="1" thickBot="1">
      <c r="C2" s="351" t="s">
        <v>100</v>
      </c>
      <c r="D2" s="351"/>
      <c r="E2" s="351"/>
      <c r="F2" s="351"/>
      <c r="G2" s="351"/>
      <c r="H2" s="351"/>
      <c r="I2" s="351"/>
      <c r="J2" s="351"/>
      <c r="K2" s="351"/>
      <c r="L2" s="351"/>
      <c r="M2" s="388">
        <f>FECHA.ACT</f>
        <v>44621</v>
      </c>
      <c r="N2" s="388"/>
      <c r="O2" s="5">
        <f>+EDATE(M2,-1)</f>
        <v>44593</v>
      </c>
    </row>
    <row r="3" spans="1:15" ht="44.25" customHeight="1" thickTop="1">
      <c r="A3" s="344" t="s">
        <v>57</v>
      </c>
      <c r="B3" s="346" t="s">
        <v>53</v>
      </c>
      <c r="C3" s="284" t="s">
        <v>63</v>
      </c>
      <c r="D3" s="389" t="str">
        <f>UPPER(TEXT(M2,"mmmm aaaa"))</f>
        <v>MARZO 2022</v>
      </c>
      <c r="E3" s="390"/>
      <c r="F3" s="284" t="s">
        <v>58</v>
      </c>
      <c r="G3" s="389" t="str">
        <f>UPPER(TEXT(O2,"mmmm aaaa"))</f>
        <v>FEBRERO 2022</v>
      </c>
      <c r="H3" s="390"/>
      <c r="I3" s="384" t="s">
        <v>69</v>
      </c>
      <c r="J3" s="384"/>
      <c r="K3" s="384"/>
      <c r="L3" s="384" t="s">
        <v>70</v>
      </c>
      <c r="M3" s="384"/>
      <c r="N3" s="386"/>
    </row>
    <row r="4" spans="1:15" ht="39" customHeight="1" thickBot="1">
      <c r="A4" s="345"/>
      <c r="B4" s="347"/>
      <c r="C4" s="285" t="s">
        <v>66</v>
      </c>
      <c r="D4" s="286" t="s">
        <v>67</v>
      </c>
      <c r="E4" s="287" t="s">
        <v>68</v>
      </c>
      <c r="F4" s="288" t="s">
        <v>66</v>
      </c>
      <c r="G4" s="289" t="s">
        <v>67</v>
      </c>
      <c r="H4" s="290" t="s">
        <v>68</v>
      </c>
      <c r="I4" s="288" t="s">
        <v>66</v>
      </c>
      <c r="J4" s="289" t="s">
        <v>67</v>
      </c>
      <c r="K4" s="290" t="s">
        <v>68</v>
      </c>
      <c r="L4" s="292" t="s">
        <v>66</v>
      </c>
      <c r="M4" s="289" t="s">
        <v>67</v>
      </c>
      <c r="N4" s="291" t="s">
        <v>68</v>
      </c>
    </row>
    <row r="5" spans="1:15" ht="22.5" thickTop="1">
      <c r="A5" s="254" t="s">
        <v>30</v>
      </c>
      <c r="B5" s="260" t="s">
        <v>54</v>
      </c>
      <c r="C5" s="307">
        <v>72</v>
      </c>
      <c r="D5" s="295">
        <v>301</v>
      </c>
      <c r="E5" s="310">
        <v>362</v>
      </c>
      <c r="F5" s="316">
        <v>66</v>
      </c>
      <c r="G5" s="295">
        <v>310</v>
      </c>
      <c r="H5" s="317">
        <v>364</v>
      </c>
      <c r="I5" s="313">
        <f>+C5-F5</f>
        <v>6</v>
      </c>
      <c r="J5" s="296">
        <f>+D5-G5</f>
        <v>-9</v>
      </c>
      <c r="K5" s="322">
        <f>+E5-H5</f>
        <v>-2</v>
      </c>
      <c r="L5" s="325">
        <f>+IFERROR(I5/F5,0)</f>
        <v>9.0909090909090912E-2</v>
      </c>
      <c r="M5" s="297">
        <f>+IFERROR(J5/G5,0)</f>
        <v>-2.903225806451613E-2</v>
      </c>
      <c r="N5" s="298">
        <f>+IFERROR(K5/H5,0)</f>
        <v>-5.4945054945054949E-3</v>
      </c>
    </row>
    <row r="6" spans="1:15" ht="21.75">
      <c r="A6" s="255" t="s">
        <v>31</v>
      </c>
      <c r="B6" s="261" t="s">
        <v>54</v>
      </c>
      <c r="C6" s="308">
        <v>45</v>
      </c>
      <c r="D6" s="299">
        <v>142</v>
      </c>
      <c r="E6" s="311">
        <v>194</v>
      </c>
      <c r="F6" s="318">
        <v>52</v>
      </c>
      <c r="G6" s="299">
        <v>145</v>
      </c>
      <c r="H6" s="319">
        <v>186</v>
      </c>
      <c r="I6" s="314">
        <f t="shared" ref="I6:I49" si="0">+C6-F6</f>
        <v>-7</v>
      </c>
      <c r="J6" s="300">
        <f t="shared" ref="J6:J49" si="1">+D6-G6</f>
        <v>-3</v>
      </c>
      <c r="K6" s="323">
        <f t="shared" ref="K6:K49" si="2">+E6-H6</f>
        <v>8</v>
      </c>
      <c r="L6" s="326">
        <f t="shared" ref="L6:L49" si="3">+IFERROR(I6/F6,0)</f>
        <v>-0.13461538461538461</v>
      </c>
      <c r="M6" s="301">
        <f t="shared" ref="M6:M50" si="4">+IFERROR(J6/G6,0)</f>
        <v>-2.0689655172413793E-2</v>
      </c>
      <c r="N6" s="302">
        <f t="shared" ref="N6:N50" si="5">+IFERROR(K6/H6,0)</f>
        <v>4.3010752688172046E-2</v>
      </c>
    </row>
    <row r="7" spans="1:15" ht="21.75">
      <c r="A7" s="255" t="s">
        <v>5</v>
      </c>
      <c r="B7" s="261" t="s">
        <v>55</v>
      </c>
      <c r="C7" s="308">
        <v>18</v>
      </c>
      <c r="D7" s="299">
        <v>62</v>
      </c>
      <c r="E7" s="311">
        <v>87</v>
      </c>
      <c r="F7" s="318">
        <v>13</v>
      </c>
      <c r="G7" s="299">
        <v>53</v>
      </c>
      <c r="H7" s="319">
        <v>80</v>
      </c>
      <c r="I7" s="314">
        <f t="shared" si="0"/>
        <v>5</v>
      </c>
      <c r="J7" s="300">
        <f t="shared" si="1"/>
        <v>9</v>
      </c>
      <c r="K7" s="323">
        <f t="shared" si="2"/>
        <v>7</v>
      </c>
      <c r="L7" s="326">
        <f t="shared" si="3"/>
        <v>0.38461538461538464</v>
      </c>
      <c r="M7" s="301">
        <f t="shared" si="4"/>
        <v>0.16981132075471697</v>
      </c>
      <c r="N7" s="302">
        <f t="shared" si="5"/>
        <v>8.7499999999999994E-2</v>
      </c>
    </row>
    <row r="8" spans="1:15" ht="21.75">
      <c r="A8" s="255" t="s">
        <v>6</v>
      </c>
      <c r="B8" s="261" t="s">
        <v>56</v>
      </c>
      <c r="C8" s="308">
        <v>1319</v>
      </c>
      <c r="D8" s="299">
        <v>6527</v>
      </c>
      <c r="E8" s="311">
        <v>7382</v>
      </c>
      <c r="F8" s="318">
        <v>1321</v>
      </c>
      <c r="G8" s="299">
        <v>6572</v>
      </c>
      <c r="H8" s="319">
        <v>7362</v>
      </c>
      <c r="I8" s="314">
        <f t="shared" si="0"/>
        <v>-2</v>
      </c>
      <c r="J8" s="300">
        <f t="shared" si="1"/>
        <v>-45</v>
      </c>
      <c r="K8" s="323">
        <f t="shared" si="2"/>
        <v>20</v>
      </c>
      <c r="L8" s="326">
        <f t="shared" si="3"/>
        <v>-1.514004542013626E-3</v>
      </c>
      <c r="M8" s="301">
        <f t="shared" si="4"/>
        <v>-6.8472306755934268E-3</v>
      </c>
      <c r="N8" s="302">
        <f t="shared" si="5"/>
        <v>2.7166530834012497E-3</v>
      </c>
    </row>
    <row r="9" spans="1:15" ht="21.75">
      <c r="A9" s="255" t="s">
        <v>7</v>
      </c>
      <c r="B9" s="261" t="s">
        <v>54</v>
      </c>
      <c r="C9" s="308">
        <v>71</v>
      </c>
      <c r="D9" s="299">
        <v>190</v>
      </c>
      <c r="E9" s="311">
        <v>265</v>
      </c>
      <c r="F9" s="318">
        <v>70</v>
      </c>
      <c r="G9" s="299">
        <v>195</v>
      </c>
      <c r="H9" s="319">
        <v>242</v>
      </c>
      <c r="I9" s="314">
        <f t="shared" si="0"/>
        <v>1</v>
      </c>
      <c r="J9" s="300">
        <f t="shared" si="1"/>
        <v>-5</v>
      </c>
      <c r="K9" s="323">
        <f t="shared" si="2"/>
        <v>23</v>
      </c>
      <c r="L9" s="326">
        <f t="shared" si="3"/>
        <v>1.4285714285714285E-2</v>
      </c>
      <c r="M9" s="301">
        <f t="shared" si="4"/>
        <v>-2.564102564102564E-2</v>
      </c>
      <c r="N9" s="302">
        <f t="shared" si="5"/>
        <v>9.5041322314049589E-2</v>
      </c>
    </row>
    <row r="10" spans="1:15" ht="21.75">
      <c r="A10" s="255" t="s">
        <v>115</v>
      </c>
      <c r="B10" s="261" t="s">
        <v>56</v>
      </c>
      <c r="C10" s="308">
        <v>407</v>
      </c>
      <c r="D10" s="299">
        <v>1925</v>
      </c>
      <c r="E10" s="311">
        <v>2451</v>
      </c>
      <c r="F10" s="318">
        <v>390</v>
      </c>
      <c r="G10" s="299">
        <v>1844</v>
      </c>
      <c r="H10" s="319">
        <v>2328</v>
      </c>
      <c r="I10" s="314">
        <f t="shared" si="0"/>
        <v>17</v>
      </c>
      <c r="J10" s="300">
        <f t="shared" si="1"/>
        <v>81</v>
      </c>
      <c r="K10" s="323">
        <f t="shared" si="2"/>
        <v>123</v>
      </c>
      <c r="L10" s="326">
        <f t="shared" si="3"/>
        <v>4.3589743589743588E-2</v>
      </c>
      <c r="M10" s="301">
        <f t="shared" si="4"/>
        <v>4.3926247288503251E-2</v>
      </c>
      <c r="N10" s="302">
        <f t="shared" si="5"/>
        <v>5.2835051546391752E-2</v>
      </c>
    </row>
    <row r="11" spans="1:15" ht="21.75">
      <c r="A11" s="255" t="s">
        <v>8</v>
      </c>
      <c r="B11" s="261" t="s">
        <v>56</v>
      </c>
      <c r="C11" s="308">
        <v>385</v>
      </c>
      <c r="D11" s="299">
        <v>1677</v>
      </c>
      <c r="E11" s="311">
        <v>1811</v>
      </c>
      <c r="F11" s="318">
        <v>423</v>
      </c>
      <c r="G11" s="299">
        <v>1810</v>
      </c>
      <c r="H11" s="319">
        <v>1834</v>
      </c>
      <c r="I11" s="314">
        <f t="shared" si="0"/>
        <v>-38</v>
      </c>
      <c r="J11" s="300">
        <f t="shared" si="1"/>
        <v>-133</v>
      </c>
      <c r="K11" s="323">
        <f t="shared" si="2"/>
        <v>-23</v>
      </c>
      <c r="L11" s="326">
        <f t="shared" si="3"/>
        <v>-8.9834515366430265E-2</v>
      </c>
      <c r="M11" s="301">
        <f t="shared" si="4"/>
        <v>-7.3480662983425413E-2</v>
      </c>
      <c r="N11" s="302">
        <f t="shared" si="5"/>
        <v>-1.2540894220283533E-2</v>
      </c>
    </row>
    <row r="12" spans="1:15" ht="21.75">
      <c r="A12" s="255" t="s">
        <v>9</v>
      </c>
      <c r="B12" s="261" t="s">
        <v>56</v>
      </c>
      <c r="C12" s="308">
        <v>244</v>
      </c>
      <c r="D12" s="299">
        <v>1141</v>
      </c>
      <c r="E12" s="311">
        <v>1277</v>
      </c>
      <c r="F12" s="318">
        <v>247</v>
      </c>
      <c r="G12" s="299">
        <v>1157</v>
      </c>
      <c r="H12" s="319">
        <v>1276</v>
      </c>
      <c r="I12" s="314">
        <f t="shared" si="0"/>
        <v>-3</v>
      </c>
      <c r="J12" s="300">
        <f t="shared" si="1"/>
        <v>-16</v>
      </c>
      <c r="K12" s="323">
        <f t="shared" si="2"/>
        <v>1</v>
      </c>
      <c r="L12" s="326">
        <f t="shared" si="3"/>
        <v>-1.2145748987854251E-2</v>
      </c>
      <c r="M12" s="301">
        <f t="shared" si="4"/>
        <v>-1.3828867761452032E-2</v>
      </c>
      <c r="N12" s="302">
        <f t="shared" si="5"/>
        <v>7.836990595611285E-4</v>
      </c>
    </row>
    <row r="13" spans="1:15" ht="21.75">
      <c r="A13" s="255" t="s">
        <v>10</v>
      </c>
      <c r="B13" s="261" t="s">
        <v>54</v>
      </c>
      <c r="C13" s="308">
        <v>105</v>
      </c>
      <c r="D13" s="299">
        <v>347</v>
      </c>
      <c r="E13" s="311">
        <v>533</v>
      </c>
      <c r="F13" s="318">
        <v>104</v>
      </c>
      <c r="G13" s="299">
        <v>349</v>
      </c>
      <c r="H13" s="319">
        <v>526</v>
      </c>
      <c r="I13" s="314">
        <f t="shared" si="0"/>
        <v>1</v>
      </c>
      <c r="J13" s="300">
        <f t="shared" si="1"/>
        <v>-2</v>
      </c>
      <c r="K13" s="323">
        <f t="shared" si="2"/>
        <v>7</v>
      </c>
      <c r="L13" s="326">
        <f t="shared" si="3"/>
        <v>9.6153846153846159E-3</v>
      </c>
      <c r="M13" s="301">
        <f t="shared" si="4"/>
        <v>-5.7306590257879654E-3</v>
      </c>
      <c r="N13" s="302">
        <f t="shared" si="5"/>
        <v>1.3307984790874524E-2</v>
      </c>
    </row>
    <row r="14" spans="1:15" ht="21.75">
      <c r="A14" s="255" t="s">
        <v>11</v>
      </c>
      <c r="B14" s="261" t="s">
        <v>55</v>
      </c>
      <c r="C14" s="308">
        <v>4</v>
      </c>
      <c r="D14" s="299">
        <v>22</v>
      </c>
      <c r="E14" s="311">
        <v>45</v>
      </c>
      <c r="F14" s="318">
        <v>5</v>
      </c>
      <c r="G14" s="299">
        <v>22</v>
      </c>
      <c r="H14" s="319">
        <v>48</v>
      </c>
      <c r="I14" s="314">
        <f t="shared" si="0"/>
        <v>-1</v>
      </c>
      <c r="J14" s="300">
        <f t="shared" si="1"/>
        <v>0</v>
      </c>
      <c r="K14" s="323">
        <f t="shared" si="2"/>
        <v>-3</v>
      </c>
      <c r="L14" s="326">
        <f t="shared" si="3"/>
        <v>-0.2</v>
      </c>
      <c r="M14" s="301">
        <f t="shared" si="4"/>
        <v>0</v>
      </c>
      <c r="N14" s="302">
        <f t="shared" si="5"/>
        <v>-6.25E-2</v>
      </c>
    </row>
    <row r="15" spans="1:15" ht="21.75">
      <c r="A15" s="255" t="s">
        <v>12</v>
      </c>
      <c r="B15" s="261" t="s">
        <v>54</v>
      </c>
      <c r="C15" s="308">
        <v>99</v>
      </c>
      <c r="D15" s="299">
        <v>350</v>
      </c>
      <c r="E15" s="311">
        <v>334</v>
      </c>
      <c r="F15" s="318">
        <v>96</v>
      </c>
      <c r="G15" s="299">
        <v>341</v>
      </c>
      <c r="H15" s="319">
        <v>317</v>
      </c>
      <c r="I15" s="314">
        <f t="shared" si="0"/>
        <v>3</v>
      </c>
      <c r="J15" s="300">
        <f t="shared" si="1"/>
        <v>9</v>
      </c>
      <c r="K15" s="323">
        <f t="shared" si="2"/>
        <v>17</v>
      </c>
      <c r="L15" s="326">
        <f t="shared" si="3"/>
        <v>3.125E-2</v>
      </c>
      <c r="M15" s="301">
        <f t="shared" si="4"/>
        <v>2.6392961876832845E-2</v>
      </c>
      <c r="N15" s="302">
        <f t="shared" si="5"/>
        <v>5.362776025236593E-2</v>
      </c>
    </row>
    <row r="16" spans="1:15" ht="21.75">
      <c r="A16" s="255" t="s">
        <v>13</v>
      </c>
      <c r="B16" s="261" t="s">
        <v>55</v>
      </c>
      <c r="C16" s="308">
        <v>19</v>
      </c>
      <c r="D16" s="299">
        <v>71</v>
      </c>
      <c r="E16" s="311">
        <v>124</v>
      </c>
      <c r="F16" s="318">
        <v>19</v>
      </c>
      <c r="G16" s="299">
        <v>76</v>
      </c>
      <c r="H16" s="319">
        <v>120</v>
      </c>
      <c r="I16" s="314">
        <f t="shared" si="0"/>
        <v>0</v>
      </c>
      <c r="J16" s="300">
        <f t="shared" si="1"/>
        <v>-5</v>
      </c>
      <c r="K16" s="323">
        <f t="shared" si="2"/>
        <v>4</v>
      </c>
      <c r="L16" s="326">
        <f t="shared" si="3"/>
        <v>0</v>
      </c>
      <c r="M16" s="301">
        <f t="shared" si="4"/>
        <v>-6.5789473684210523E-2</v>
      </c>
      <c r="N16" s="302">
        <f t="shared" si="5"/>
        <v>3.3333333333333333E-2</v>
      </c>
    </row>
    <row r="17" spans="1:14" ht="21.75">
      <c r="A17" s="255" t="s">
        <v>14</v>
      </c>
      <c r="B17" s="261" t="s">
        <v>56</v>
      </c>
      <c r="C17" s="308">
        <v>826</v>
      </c>
      <c r="D17" s="299">
        <v>5163</v>
      </c>
      <c r="E17" s="311">
        <v>6675</v>
      </c>
      <c r="F17" s="318">
        <v>730</v>
      </c>
      <c r="G17" s="299">
        <v>5085</v>
      </c>
      <c r="H17" s="319">
        <v>6600</v>
      </c>
      <c r="I17" s="314">
        <f t="shared" si="0"/>
        <v>96</v>
      </c>
      <c r="J17" s="300">
        <f t="shared" si="1"/>
        <v>78</v>
      </c>
      <c r="K17" s="323">
        <f t="shared" si="2"/>
        <v>75</v>
      </c>
      <c r="L17" s="326">
        <f t="shared" si="3"/>
        <v>0.13150684931506848</v>
      </c>
      <c r="M17" s="301">
        <f t="shared" si="4"/>
        <v>1.5339233038348082E-2</v>
      </c>
      <c r="N17" s="302">
        <f t="shared" si="5"/>
        <v>1.1363636363636364E-2</v>
      </c>
    </row>
    <row r="18" spans="1:14" ht="21.75">
      <c r="A18" s="255" t="s">
        <v>32</v>
      </c>
      <c r="B18" s="261" t="s">
        <v>55</v>
      </c>
      <c r="C18" s="308">
        <v>30</v>
      </c>
      <c r="D18" s="299">
        <v>130</v>
      </c>
      <c r="E18" s="311">
        <v>160</v>
      </c>
      <c r="F18" s="318">
        <v>26</v>
      </c>
      <c r="G18" s="299">
        <v>137</v>
      </c>
      <c r="H18" s="319">
        <v>170</v>
      </c>
      <c r="I18" s="314">
        <f t="shared" si="0"/>
        <v>4</v>
      </c>
      <c r="J18" s="300">
        <f t="shared" si="1"/>
        <v>-7</v>
      </c>
      <c r="K18" s="323">
        <f t="shared" si="2"/>
        <v>-10</v>
      </c>
      <c r="L18" s="326">
        <f t="shared" si="3"/>
        <v>0.15384615384615385</v>
      </c>
      <c r="M18" s="301">
        <f t="shared" si="4"/>
        <v>-5.1094890510948905E-2</v>
      </c>
      <c r="N18" s="302">
        <f t="shared" si="5"/>
        <v>-5.8823529411764705E-2</v>
      </c>
    </row>
    <row r="19" spans="1:14" ht="21.75">
      <c r="A19" s="255" t="s">
        <v>33</v>
      </c>
      <c r="B19" s="261" t="s">
        <v>56</v>
      </c>
      <c r="C19" s="308">
        <v>174</v>
      </c>
      <c r="D19" s="299">
        <v>1081</v>
      </c>
      <c r="E19" s="311">
        <v>1199</v>
      </c>
      <c r="F19" s="318">
        <v>199</v>
      </c>
      <c r="G19" s="299">
        <v>1132</v>
      </c>
      <c r="H19" s="319">
        <v>1216</v>
      </c>
      <c r="I19" s="314">
        <f t="shared" si="0"/>
        <v>-25</v>
      </c>
      <c r="J19" s="300">
        <f t="shared" si="1"/>
        <v>-51</v>
      </c>
      <c r="K19" s="323">
        <f t="shared" si="2"/>
        <v>-17</v>
      </c>
      <c r="L19" s="326">
        <f t="shared" si="3"/>
        <v>-0.12562814070351758</v>
      </c>
      <c r="M19" s="301">
        <f t="shared" si="4"/>
        <v>-4.5053003533568906E-2</v>
      </c>
      <c r="N19" s="302">
        <f t="shared" si="5"/>
        <v>-1.3980263157894737E-2</v>
      </c>
    </row>
    <row r="20" spans="1:14" ht="21.75">
      <c r="A20" s="255" t="s">
        <v>34</v>
      </c>
      <c r="B20" s="261" t="s">
        <v>56</v>
      </c>
      <c r="C20" s="308">
        <v>928</v>
      </c>
      <c r="D20" s="299">
        <v>4660</v>
      </c>
      <c r="E20" s="311">
        <v>5609</v>
      </c>
      <c r="F20" s="318">
        <v>916</v>
      </c>
      <c r="G20" s="299">
        <v>4729</v>
      </c>
      <c r="H20" s="319">
        <v>5550</v>
      </c>
      <c r="I20" s="314">
        <f t="shared" si="0"/>
        <v>12</v>
      </c>
      <c r="J20" s="300">
        <f t="shared" si="1"/>
        <v>-69</v>
      </c>
      <c r="K20" s="323">
        <f t="shared" si="2"/>
        <v>59</v>
      </c>
      <c r="L20" s="326">
        <f t="shared" si="3"/>
        <v>1.3100436681222707E-2</v>
      </c>
      <c r="M20" s="301">
        <f t="shared" si="4"/>
        <v>-1.4590822584055826E-2</v>
      </c>
      <c r="N20" s="302">
        <f t="shared" si="5"/>
        <v>1.0630630630630631E-2</v>
      </c>
    </row>
    <row r="21" spans="1:14" ht="21.75">
      <c r="A21" s="255" t="s">
        <v>15</v>
      </c>
      <c r="B21" s="261" t="s">
        <v>54</v>
      </c>
      <c r="C21" s="308">
        <v>227</v>
      </c>
      <c r="D21" s="299">
        <v>1193</v>
      </c>
      <c r="E21" s="311">
        <v>1192</v>
      </c>
      <c r="F21" s="318">
        <v>231</v>
      </c>
      <c r="G21" s="299">
        <v>1185</v>
      </c>
      <c r="H21" s="319">
        <v>1215</v>
      </c>
      <c r="I21" s="314">
        <f t="shared" si="0"/>
        <v>-4</v>
      </c>
      <c r="J21" s="300">
        <f t="shared" si="1"/>
        <v>8</v>
      </c>
      <c r="K21" s="323">
        <f t="shared" si="2"/>
        <v>-23</v>
      </c>
      <c r="L21" s="326">
        <f t="shared" si="3"/>
        <v>-1.7316017316017316E-2</v>
      </c>
      <c r="M21" s="301">
        <f t="shared" si="4"/>
        <v>6.7510548523206752E-3</v>
      </c>
      <c r="N21" s="302">
        <f t="shared" si="5"/>
        <v>-1.8930041152263374E-2</v>
      </c>
    </row>
    <row r="22" spans="1:14" ht="21.75">
      <c r="A22" s="255" t="s">
        <v>16</v>
      </c>
      <c r="B22" s="261" t="s">
        <v>55</v>
      </c>
      <c r="C22" s="308">
        <v>52</v>
      </c>
      <c r="D22" s="299">
        <v>189</v>
      </c>
      <c r="E22" s="311">
        <v>166</v>
      </c>
      <c r="F22" s="318">
        <v>44</v>
      </c>
      <c r="G22" s="299">
        <v>162</v>
      </c>
      <c r="H22" s="319">
        <v>157</v>
      </c>
      <c r="I22" s="314">
        <f t="shared" si="0"/>
        <v>8</v>
      </c>
      <c r="J22" s="300">
        <f t="shared" si="1"/>
        <v>27</v>
      </c>
      <c r="K22" s="323">
        <f t="shared" si="2"/>
        <v>9</v>
      </c>
      <c r="L22" s="326">
        <f t="shared" si="3"/>
        <v>0.18181818181818182</v>
      </c>
      <c r="M22" s="301">
        <f t="shared" si="4"/>
        <v>0.16666666666666666</v>
      </c>
      <c r="N22" s="302">
        <f t="shared" si="5"/>
        <v>5.7324840764331211E-2</v>
      </c>
    </row>
    <row r="23" spans="1:14" ht="21.75">
      <c r="A23" s="255" t="s">
        <v>17</v>
      </c>
      <c r="B23" s="261" t="s">
        <v>55</v>
      </c>
      <c r="C23" s="308">
        <v>19</v>
      </c>
      <c r="D23" s="299">
        <v>63</v>
      </c>
      <c r="E23" s="311">
        <v>92</v>
      </c>
      <c r="F23" s="318">
        <v>20</v>
      </c>
      <c r="G23" s="299">
        <v>69</v>
      </c>
      <c r="H23" s="319">
        <v>87</v>
      </c>
      <c r="I23" s="314">
        <f t="shared" si="0"/>
        <v>-1</v>
      </c>
      <c r="J23" s="300">
        <f t="shared" si="1"/>
        <v>-6</v>
      </c>
      <c r="K23" s="323">
        <f t="shared" si="2"/>
        <v>5</v>
      </c>
      <c r="L23" s="326">
        <f t="shared" si="3"/>
        <v>-0.05</v>
      </c>
      <c r="M23" s="301">
        <f t="shared" si="4"/>
        <v>-8.6956521739130432E-2</v>
      </c>
      <c r="N23" s="302">
        <f t="shared" si="5"/>
        <v>5.7471264367816091E-2</v>
      </c>
    </row>
    <row r="24" spans="1:14" ht="21.75">
      <c r="A24" s="255" t="s">
        <v>18</v>
      </c>
      <c r="B24" s="261" t="s">
        <v>55</v>
      </c>
      <c r="C24" s="308">
        <v>11</v>
      </c>
      <c r="D24" s="299">
        <v>68</v>
      </c>
      <c r="E24" s="311">
        <v>130</v>
      </c>
      <c r="F24" s="318">
        <v>10</v>
      </c>
      <c r="G24" s="299">
        <v>68</v>
      </c>
      <c r="H24" s="319">
        <v>136</v>
      </c>
      <c r="I24" s="314">
        <f t="shared" si="0"/>
        <v>1</v>
      </c>
      <c r="J24" s="300">
        <f t="shared" si="1"/>
        <v>0</v>
      </c>
      <c r="K24" s="323">
        <f t="shared" si="2"/>
        <v>-6</v>
      </c>
      <c r="L24" s="326">
        <f t="shared" si="3"/>
        <v>0.1</v>
      </c>
      <c r="M24" s="301">
        <f t="shared" si="4"/>
        <v>0</v>
      </c>
      <c r="N24" s="302">
        <f t="shared" si="5"/>
        <v>-4.4117647058823532E-2</v>
      </c>
    </row>
    <row r="25" spans="1:14" ht="21.75">
      <c r="A25" s="255" t="s">
        <v>114</v>
      </c>
      <c r="B25" s="261" t="s">
        <v>56</v>
      </c>
      <c r="C25" s="308">
        <v>2226</v>
      </c>
      <c r="D25" s="299">
        <v>10694</v>
      </c>
      <c r="E25" s="311">
        <v>15484</v>
      </c>
      <c r="F25" s="318">
        <v>2173</v>
      </c>
      <c r="G25" s="299">
        <v>10625</v>
      </c>
      <c r="H25" s="319">
        <v>15264</v>
      </c>
      <c r="I25" s="314">
        <f t="shared" si="0"/>
        <v>53</v>
      </c>
      <c r="J25" s="300">
        <f t="shared" si="1"/>
        <v>69</v>
      </c>
      <c r="K25" s="323">
        <f t="shared" si="2"/>
        <v>220</v>
      </c>
      <c r="L25" s="326">
        <f t="shared" si="3"/>
        <v>2.4390243902439025E-2</v>
      </c>
      <c r="M25" s="301">
        <f t="shared" si="4"/>
        <v>6.4941176470588238E-3</v>
      </c>
      <c r="N25" s="302">
        <f t="shared" si="5"/>
        <v>1.4412997903563941E-2</v>
      </c>
    </row>
    <row r="26" spans="1:14" ht="21.75">
      <c r="A26" s="255" t="s">
        <v>127</v>
      </c>
      <c r="B26" s="261" t="s">
        <v>54</v>
      </c>
      <c r="C26" s="308">
        <v>72</v>
      </c>
      <c r="D26" s="299">
        <v>294</v>
      </c>
      <c r="E26" s="311">
        <v>384</v>
      </c>
      <c r="F26" s="318">
        <v>72</v>
      </c>
      <c r="G26" s="299">
        <v>299</v>
      </c>
      <c r="H26" s="319">
        <v>379</v>
      </c>
      <c r="I26" s="314">
        <f t="shared" si="0"/>
        <v>0</v>
      </c>
      <c r="J26" s="300">
        <f t="shared" si="1"/>
        <v>-5</v>
      </c>
      <c r="K26" s="323">
        <f t="shared" si="2"/>
        <v>5</v>
      </c>
      <c r="L26" s="326">
        <f t="shared" si="3"/>
        <v>0</v>
      </c>
      <c r="M26" s="301">
        <f t="shared" si="4"/>
        <v>-1.6722408026755852E-2</v>
      </c>
      <c r="N26" s="302">
        <f t="shared" si="5"/>
        <v>1.3192612137203167E-2</v>
      </c>
    </row>
    <row r="27" spans="1:14" ht="21.75">
      <c r="A27" s="255" t="s">
        <v>35</v>
      </c>
      <c r="B27" s="261" t="s">
        <v>56</v>
      </c>
      <c r="C27" s="308">
        <v>964</v>
      </c>
      <c r="D27" s="299">
        <v>4070</v>
      </c>
      <c r="E27" s="311">
        <v>4596</v>
      </c>
      <c r="F27" s="318">
        <v>946</v>
      </c>
      <c r="G27" s="299">
        <v>4096</v>
      </c>
      <c r="H27" s="319">
        <v>4600</v>
      </c>
      <c r="I27" s="314">
        <f t="shared" si="0"/>
        <v>18</v>
      </c>
      <c r="J27" s="300">
        <f t="shared" si="1"/>
        <v>-26</v>
      </c>
      <c r="K27" s="323">
        <f t="shared" si="2"/>
        <v>-4</v>
      </c>
      <c r="L27" s="326">
        <f t="shared" si="3"/>
        <v>1.9027484143763214E-2</v>
      </c>
      <c r="M27" s="301">
        <f t="shared" si="4"/>
        <v>-6.34765625E-3</v>
      </c>
      <c r="N27" s="302">
        <f t="shared" si="5"/>
        <v>-8.6956521739130438E-4</v>
      </c>
    </row>
    <row r="28" spans="1:14" ht="21.75">
      <c r="A28" s="255" t="s">
        <v>36</v>
      </c>
      <c r="B28" s="261" t="s">
        <v>54</v>
      </c>
      <c r="C28" s="308">
        <v>115</v>
      </c>
      <c r="D28" s="299">
        <v>650</v>
      </c>
      <c r="E28" s="311">
        <v>862</v>
      </c>
      <c r="F28" s="318">
        <v>116</v>
      </c>
      <c r="G28" s="299">
        <v>658</v>
      </c>
      <c r="H28" s="319">
        <v>838</v>
      </c>
      <c r="I28" s="314">
        <f t="shared" si="0"/>
        <v>-1</v>
      </c>
      <c r="J28" s="300">
        <f t="shared" si="1"/>
        <v>-8</v>
      </c>
      <c r="K28" s="323">
        <f t="shared" si="2"/>
        <v>24</v>
      </c>
      <c r="L28" s="326">
        <f t="shared" si="3"/>
        <v>-8.6206896551724137E-3</v>
      </c>
      <c r="M28" s="301">
        <f t="shared" si="4"/>
        <v>-1.2158054711246201E-2</v>
      </c>
      <c r="N28" s="302">
        <f t="shared" si="5"/>
        <v>2.8639618138424822E-2</v>
      </c>
    </row>
    <row r="29" spans="1:14" ht="21.75">
      <c r="A29" s="255" t="s">
        <v>19</v>
      </c>
      <c r="B29" s="261" t="s">
        <v>54</v>
      </c>
      <c r="C29" s="308">
        <v>81</v>
      </c>
      <c r="D29" s="299">
        <v>256</v>
      </c>
      <c r="E29" s="311">
        <v>298</v>
      </c>
      <c r="F29" s="318">
        <v>69</v>
      </c>
      <c r="G29" s="299">
        <v>247</v>
      </c>
      <c r="H29" s="319">
        <v>301</v>
      </c>
      <c r="I29" s="314">
        <f t="shared" si="0"/>
        <v>12</v>
      </c>
      <c r="J29" s="300">
        <f t="shared" si="1"/>
        <v>9</v>
      </c>
      <c r="K29" s="323">
        <f t="shared" si="2"/>
        <v>-3</v>
      </c>
      <c r="L29" s="326">
        <f t="shared" si="3"/>
        <v>0.17391304347826086</v>
      </c>
      <c r="M29" s="301">
        <f t="shared" si="4"/>
        <v>3.643724696356275E-2</v>
      </c>
      <c r="N29" s="302">
        <f t="shared" si="5"/>
        <v>-9.9667774086378731E-3</v>
      </c>
    </row>
    <row r="30" spans="1:14" ht="21.75">
      <c r="A30" s="255" t="s">
        <v>37</v>
      </c>
      <c r="B30" s="261" t="s">
        <v>54</v>
      </c>
      <c r="C30" s="308">
        <v>83</v>
      </c>
      <c r="D30" s="299">
        <v>364</v>
      </c>
      <c r="E30" s="311">
        <v>414</v>
      </c>
      <c r="F30" s="318">
        <v>81</v>
      </c>
      <c r="G30" s="299">
        <v>356</v>
      </c>
      <c r="H30" s="319">
        <v>383</v>
      </c>
      <c r="I30" s="314">
        <f t="shared" si="0"/>
        <v>2</v>
      </c>
      <c r="J30" s="300">
        <f t="shared" si="1"/>
        <v>8</v>
      </c>
      <c r="K30" s="323">
        <f t="shared" si="2"/>
        <v>31</v>
      </c>
      <c r="L30" s="326">
        <f t="shared" si="3"/>
        <v>2.4691358024691357E-2</v>
      </c>
      <c r="M30" s="301">
        <f t="shared" si="4"/>
        <v>2.247191011235955E-2</v>
      </c>
      <c r="N30" s="302">
        <f t="shared" si="5"/>
        <v>8.0939947780678853E-2</v>
      </c>
    </row>
    <row r="31" spans="1:14" ht="21.75">
      <c r="A31" s="255" t="s">
        <v>38</v>
      </c>
      <c r="B31" s="261" t="s">
        <v>54</v>
      </c>
      <c r="C31" s="308">
        <v>49</v>
      </c>
      <c r="D31" s="299">
        <v>273</v>
      </c>
      <c r="E31" s="311">
        <v>453</v>
      </c>
      <c r="F31" s="318">
        <v>55</v>
      </c>
      <c r="G31" s="299">
        <v>268</v>
      </c>
      <c r="H31" s="319">
        <v>443</v>
      </c>
      <c r="I31" s="314">
        <f t="shared" si="0"/>
        <v>-6</v>
      </c>
      <c r="J31" s="300">
        <f t="shared" si="1"/>
        <v>5</v>
      </c>
      <c r="K31" s="323">
        <f t="shared" si="2"/>
        <v>10</v>
      </c>
      <c r="L31" s="326">
        <f t="shared" si="3"/>
        <v>-0.10909090909090909</v>
      </c>
      <c r="M31" s="301">
        <f t="shared" si="4"/>
        <v>1.8656716417910446E-2</v>
      </c>
      <c r="N31" s="302">
        <f t="shared" si="5"/>
        <v>2.2573363431151242E-2</v>
      </c>
    </row>
    <row r="32" spans="1:14" ht="21.75">
      <c r="A32" s="255" t="s">
        <v>39</v>
      </c>
      <c r="B32" s="261" t="s">
        <v>56</v>
      </c>
      <c r="C32" s="308">
        <v>661</v>
      </c>
      <c r="D32" s="299">
        <v>4088</v>
      </c>
      <c r="E32" s="311">
        <v>5497</v>
      </c>
      <c r="F32" s="318">
        <v>638</v>
      </c>
      <c r="G32" s="299">
        <v>4153</v>
      </c>
      <c r="H32" s="319">
        <v>5523</v>
      </c>
      <c r="I32" s="314">
        <f t="shared" si="0"/>
        <v>23</v>
      </c>
      <c r="J32" s="300">
        <f t="shared" si="1"/>
        <v>-65</v>
      </c>
      <c r="K32" s="323">
        <f t="shared" si="2"/>
        <v>-26</v>
      </c>
      <c r="L32" s="326">
        <f t="shared" si="3"/>
        <v>3.6050156739811913E-2</v>
      </c>
      <c r="M32" s="301">
        <f t="shared" si="4"/>
        <v>-1.5651336383337346E-2</v>
      </c>
      <c r="N32" s="302">
        <f t="shared" si="5"/>
        <v>-4.7075864566358859E-3</v>
      </c>
    </row>
    <row r="33" spans="1:14" ht="21.75">
      <c r="A33" s="255" t="s">
        <v>40</v>
      </c>
      <c r="B33" s="261" t="s">
        <v>56</v>
      </c>
      <c r="C33" s="308">
        <v>393</v>
      </c>
      <c r="D33" s="299">
        <v>2215</v>
      </c>
      <c r="E33" s="311">
        <v>2704</v>
      </c>
      <c r="F33" s="318">
        <v>383</v>
      </c>
      <c r="G33" s="299">
        <v>2180</v>
      </c>
      <c r="H33" s="319">
        <v>2609</v>
      </c>
      <c r="I33" s="314">
        <f t="shared" si="0"/>
        <v>10</v>
      </c>
      <c r="J33" s="300">
        <f t="shared" si="1"/>
        <v>35</v>
      </c>
      <c r="K33" s="323">
        <f t="shared" si="2"/>
        <v>95</v>
      </c>
      <c r="L33" s="326">
        <f t="shared" si="3"/>
        <v>2.6109660574412531E-2</v>
      </c>
      <c r="M33" s="301">
        <f t="shared" si="4"/>
        <v>1.6055045871559634E-2</v>
      </c>
      <c r="N33" s="302">
        <f t="shared" si="5"/>
        <v>3.6412418551169029E-2</v>
      </c>
    </row>
    <row r="34" spans="1:14" ht="21.75">
      <c r="A34" s="255" t="s">
        <v>41</v>
      </c>
      <c r="B34" s="261" t="s">
        <v>54</v>
      </c>
      <c r="C34" s="308">
        <v>116</v>
      </c>
      <c r="D34" s="299">
        <v>235</v>
      </c>
      <c r="E34" s="311">
        <v>193</v>
      </c>
      <c r="F34" s="318">
        <v>116</v>
      </c>
      <c r="G34" s="299">
        <v>230</v>
      </c>
      <c r="H34" s="319">
        <v>196</v>
      </c>
      <c r="I34" s="314">
        <f t="shared" si="0"/>
        <v>0</v>
      </c>
      <c r="J34" s="300">
        <f t="shared" si="1"/>
        <v>5</v>
      </c>
      <c r="K34" s="323">
        <f t="shared" si="2"/>
        <v>-3</v>
      </c>
      <c r="L34" s="326">
        <f t="shared" si="3"/>
        <v>0</v>
      </c>
      <c r="M34" s="301">
        <f t="shared" si="4"/>
        <v>2.1739130434782608E-2</v>
      </c>
      <c r="N34" s="302">
        <f t="shared" si="5"/>
        <v>-1.5306122448979591E-2</v>
      </c>
    </row>
    <row r="35" spans="1:14" ht="21.75">
      <c r="A35" s="255" t="s">
        <v>20</v>
      </c>
      <c r="B35" s="261" t="s">
        <v>56</v>
      </c>
      <c r="C35" s="308">
        <v>219</v>
      </c>
      <c r="D35" s="299">
        <v>1269</v>
      </c>
      <c r="E35" s="311">
        <v>1531</v>
      </c>
      <c r="F35" s="318">
        <v>240</v>
      </c>
      <c r="G35" s="299">
        <v>1314</v>
      </c>
      <c r="H35" s="319">
        <v>1518</v>
      </c>
      <c r="I35" s="314">
        <f t="shared" si="0"/>
        <v>-21</v>
      </c>
      <c r="J35" s="300">
        <f t="shared" si="1"/>
        <v>-45</v>
      </c>
      <c r="K35" s="323">
        <f t="shared" si="2"/>
        <v>13</v>
      </c>
      <c r="L35" s="326">
        <f t="shared" si="3"/>
        <v>-8.7499999999999994E-2</v>
      </c>
      <c r="M35" s="301">
        <f t="shared" si="4"/>
        <v>-3.4246575342465752E-2</v>
      </c>
      <c r="N35" s="302">
        <f t="shared" si="5"/>
        <v>8.563899868247694E-3</v>
      </c>
    </row>
    <row r="36" spans="1:14" ht="21.75">
      <c r="A36" s="255" t="s">
        <v>21</v>
      </c>
      <c r="B36" s="261" t="s">
        <v>56</v>
      </c>
      <c r="C36" s="308">
        <v>848</v>
      </c>
      <c r="D36" s="299">
        <v>4610</v>
      </c>
      <c r="E36" s="311">
        <v>5913</v>
      </c>
      <c r="F36" s="318">
        <v>816</v>
      </c>
      <c r="G36" s="299">
        <v>4540</v>
      </c>
      <c r="H36" s="319">
        <v>5909</v>
      </c>
      <c r="I36" s="314">
        <f t="shared" si="0"/>
        <v>32</v>
      </c>
      <c r="J36" s="300">
        <f t="shared" si="1"/>
        <v>70</v>
      </c>
      <c r="K36" s="323">
        <f t="shared" si="2"/>
        <v>4</v>
      </c>
      <c r="L36" s="326">
        <f t="shared" si="3"/>
        <v>3.9215686274509803E-2</v>
      </c>
      <c r="M36" s="301">
        <f t="shared" si="4"/>
        <v>1.5418502202643172E-2</v>
      </c>
      <c r="N36" s="302">
        <f t="shared" si="5"/>
        <v>6.7693349128448131E-4</v>
      </c>
    </row>
    <row r="37" spans="1:14" ht="21.75">
      <c r="A37" s="255" t="s">
        <v>128</v>
      </c>
      <c r="B37" s="261" t="s">
        <v>56</v>
      </c>
      <c r="C37" s="308">
        <v>710</v>
      </c>
      <c r="D37" s="299">
        <v>3793</v>
      </c>
      <c r="E37" s="311">
        <v>4471</v>
      </c>
      <c r="F37" s="318">
        <v>734</v>
      </c>
      <c r="G37" s="299">
        <v>3666</v>
      </c>
      <c r="H37" s="319">
        <v>4360</v>
      </c>
      <c r="I37" s="314">
        <f t="shared" si="0"/>
        <v>-24</v>
      </c>
      <c r="J37" s="300">
        <f t="shared" si="1"/>
        <v>127</v>
      </c>
      <c r="K37" s="323">
        <f t="shared" si="2"/>
        <v>111</v>
      </c>
      <c r="L37" s="326">
        <f t="shared" si="3"/>
        <v>-3.2697547683923703E-2</v>
      </c>
      <c r="M37" s="301">
        <f t="shared" si="4"/>
        <v>3.4642662302236768E-2</v>
      </c>
      <c r="N37" s="302">
        <f t="shared" si="5"/>
        <v>2.5458715596330277E-2</v>
      </c>
    </row>
    <row r="38" spans="1:14" ht="21.75">
      <c r="A38" s="255" t="s">
        <v>42</v>
      </c>
      <c r="B38" s="261" t="s">
        <v>55</v>
      </c>
      <c r="C38" s="308">
        <v>55</v>
      </c>
      <c r="D38" s="299">
        <v>213</v>
      </c>
      <c r="E38" s="311">
        <v>260</v>
      </c>
      <c r="F38" s="318">
        <v>53</v>
      </c>
      <c r="G38" s="299">
        <v>216</v>
      </c>
      <c r="H38" s="319">
        <v>251</v>
      </c>
      <c r="I38" s="314">
        <f t="shared" si="0"/>
        <v>2</v>
      </c>
      <c r="J38" s="300">
        <f t="shared" si="1"/>
        <v>-3</v>
      </c>
      <c r="K38" s="323">
        <f t="shared" si="2"/>
        <v>9</v>
      </c>
      <c r="L38" s="326">
        <f t="shared" si="3"/>
        <v>3.7735849056603772E-2</v>
      </c>
      <c r="M38" s="301">
        <f t="shared" si="4"/>
        <v>-1.3888888888888888E-2</v>
      </c>
      <c r="N38" s="302">
        <f t="shared" si="5"/>
        <v>3.5856573705179286E-2</v>
      </c>
    </row>
    <row r="39" spans="1:14" ht="21.75">
      <c r="A39" s="255" t="s">
        <v>126</v>
      </c>
      <c r="B39" s="261" t="s">
        <v>55</v>
      </c>
      <c r="C39" s="308">
        <v>9</v>
      </c>
      <c r="D39" s="299">
        <v>111</v>
      </c>
      <c r="E39" s="311">
        <v>136</v>
      </c>
      <c r="F39" s="318">
        <v>16</v>
      </c>
      <c r="G39" s="299">
        <v>115</v>
      </c>
      <c r="H39" s="319">
        <v>135</v>
      </c>
      <c r="I39" s="314">
        <f t="shared" ref="I39" si="6">+C39-F39</f>
        <v>-7</v>
      </c>
      <c r="J39" s="300">
        <f t="shared" ref="J39" si="7">+D39-G39</f>
        <v>-4</v>
      </c>
      <c r="K39" s="323">
        <f t="shared" ref="K39" si="8">+E39-H39</f>
        <v>1</v>
      </c>
      <c r="L39" s="326">
        <f t="shared" ref="L39" si="9">+IFERROR(I39/F39,0)</f>
        <v>-0.4375</v>
      </c>
      <c r="M39" s="301">
        <f t="shared" ref="M39" si="10">+IFERROR(J39/G39,0)</f>
        <v>-3.4782608695652174E-2</v>
      </c>
      <c r="N39" s="302">
        <f t="shared" ref="N39" si="11">+IFERROR(K39/H39,0)</f>
        <v>7.4074074074074077E-3</v>
      </c>
    </row>
    <row r="40" spans="1:14" ht="21.75">
      <c r="A40" s="255" t="s">
        <v>22</v>
      </c>
      <c r="B40" s="261" t="s">
        <v>56</v>
      </c>
      <c r="C40" s="308">
        <v>299</v>
      </c>
      <c r="D40" s="299">
        <v>1554</v>
      </c>
      <c r="E40" s="311">
        <v>1739</v>
      </c>
      <c r="F40" s="318">
        <v>314</v>
      </c>
      <c r="G40" s="299">
        <v>1577</v>
      </c>
      <c r="H40" s="319">
        <v>1693</v>
      </c>
      <c r="I40" s="314">
        <f t="shared" si="0"/>
        <v>-15</v>
      </c>
      <c r="J40" s="300">
        <f t="shared" si="1"/>
        <v>-23</v>
      </c>
      <c r="K40" s="323">
        <f t="shared" si="2"/>
        <v>46</v>
      </c>
      <c r="L40" s="326">
        <f t="shared" si="3"/>
        <v>-4.7770700636942678E-2</v>
      </c>
      <c r="M40" s="301">
        <f t="shared" si="4"/>
        <v>-1.4584654407102092E-2</v>
      </c>
      <c r="N40" s="302">
        <f t="shared" si="5"/>
        <v>2.7170702894270527E-2</v>
      </c>
    </row>
    <row r="41" spans="1:14" ht="21.75">
      <c r="A41" s="255" t="s">
        <v>43</v>
      </c>
      <c r="B41" s="261" t="s">
        <v>55</v>
      </c>
      <c r="C41" s="308">
        <v>14</v>
      </c>
      <c r="D41" s="299">
        <v>91</v>
      </c>
      <c r="E41" s="311">
        <v>103</v>
      </c>
      <c r="F41" s="318">
        <v>11</v>
      </c>
      <c r="G41" s="299">
        <v>91</v>
      </c>
      <c r="H41" s="319">
        <v>107</v>
      </c>
      <c r="I41" s="314">
        <f t="shared" si="0"/>
        <v>3</v>
      </c>
      <c r="J41" s="300">
        <f t="shared" si="1"/>
        <v>0</v>
      </c>
      <c r="K41" s="323">
        <f t="shared" si="2"/>
        <v>-4</v>
      </c>
      <c r="L41" s="326">
        <f t="shared" si="3"/>
        <v>0.27272727272727271</v>
      </c>
      <c r="M41" s="301">
        <f t="shared" si="4"/>
        <v>0</v>
      </c>
      <c r="N41" s="302">
        <f t="shared" si="5"/>
        <v>-3.7383177570093455E-2</v>
      </c>
    </row>
    <row r="42" spans="1:14" ht="21.75">
      <c r="A42" s="255" t="s">
        <v>23</v>
      </c>
      <c r="B42" s="261" t="s">
        <v>54</v>
      </c>
      <c r="C42" s="308">
        <v>140</v>
      </c>
      <c r="D42" s="299">
        <v>788</v>
      </c>
      <c r="E42" s="311">
        <v>932</v>
      </c>
      <c r="F42" s="318">
        <v>166</v>
      </c>
      <c r="G42" s="299">
        <v>850</v>
      </c>
      <c r="H42" s="319">
        <v>954</v>
      </c>
      <c r="I42" s="314">
        <f t="shared" si="0"/>
        <v>-26</v>
      </c>
      <c r="J42" s="300">
        <f t="shared" si="1"/>
        <v>-62</v>
      </c>
      <c r="K42" s="323">
        <f t="shared" si="2"/>
        <v>-22</v>
      </c>
      <c r="L42" s="326">
        <f t="shared" si="3"/>
        <v>-0.15662650602409639</v>
      </c>
      <c r="M42" s="301">
        <f t="shared" si="4"/>
        <v>-7.2941176470588232E-2</v>
      </c>
      <c r="N42" s="302">
        <f t="shared" si="5"/>
        <v>-2.3060796645702306E-2</v>
      </c>
    </row>
    <row r="43" spans="1:14" ht="21.75">
      <c r="A43" s="255" t="s">
        <v>44</v>
      </c>
      <c r="B43" s="261" t="s">
        <v>55</v>
      </c>
      <c r="C43" s="308">
        <v>11</v>
      </c>
      <c r="D43" s="299">
        <v>38</v>
      </c>
      <c r="E43" s="311">
        <v>36</v>
      </c>
      <c r="F43" s="318">
        <v>11</v>
      </c>
      <c r="G43" s="299">
        <v>36</v>
      </c>
      <c r="H43" s="319">
        <v>32</v>
      </c>
      <c r="I43" s="314">
        <f t="shared" si="0"/>
        <v>0</v>
      </c>
      <c r="J43" s="300">
        <f t="shared" si="1"/>
        <v>2</v>
      </c>
      <c r="K43" s="323">
        <f t="shared" si="2"/>
        <v>4</v>
      </c>
      <c r="L43" s="326">
        <f t="shared" si="3"/>
        <v>0</v>
      </c>
      <c r="M43" s="301">
        <f t="shared" si="4"/>
        <v>5.5555555555555552E-2</v>
      </c>
      <c r="N43" s="302">
        <f t="shared" si="5"/>
        <v>0.125</v>
      </c>
    </row>
    <row r="44" spans="1:14" ht="21.75">
      <c r="A44" s="255" t="s">
        <v>24</v>
      </c>
      <c r="B44" s="261" t="s">
        <v>54</v>
      </c>
      <c r="C44" s="308">
        <v>82</v>
      </c>
      <c r="D44" s="299">
        <v>352</v>
      </c>
      <c r="E44" s="311">
        <v>264</v>
      </c>
      <c r="F44" s="318">
        <v>68</v>
      </c>
      <c r="G44" s="299">
        <v>335</v>
      </c>
      <c r="H44" s="319">
        <v>239</v>
      </c>
      <c r="I44" s="314">
        <f t="shared" si="0"/>
        <v>14</v>
      </c>
      <c r="J44" s="300">
        <f t="shared" si="1"/>
        <v>17</v>
      </c>
      <c r="K44" s="323">
        <f t="shared" si="2"/>
        <v>25</v>
      </c>
      <c r="L44" s="326">
        <f t="shared" si="3"/>
        <v>0.20588235294117646</v>
      </c>
      <c r="M44" s="301">
        <f t="shared" si="4"/>
        <v>5.0746268656716415E-2</v>
      </c>
      <c r="N44" s="302">
        <f t="shared" si="5"/>
        <v>0.10460251046025104</v>
      </c>
    </row>
    <row r="45" spans="1:14" ht="21.75">
      <c r="A45" s="255" t="s">
        <v>25</v>
      </c>
      <c r="B45" s="261" t="s">
        <v>54</v>
      </c>
      <c r="C45" s="308">
        <v>90</v>
      </c>
      <c r="D45" s="299">
        <v>577</v>
      </c>
      <c r="E45" s="311">
        <v>1103</v>
      </c>
      <c r="F45" s="318">
        <v>94</v>
      </c>
      <c r="G45" s="299">
        <v>575</v>
      </c>
      <c r="H45" s="319">
        <v>1110</v>
      </c>
      <c r="I45" s="314">
        <f t="shared" si="0"/>
        <v>-4</v>
      </c>
      <c r="J45" s="300">
        <f t="shared" si="1"/>
        <v>2</v>
      </c>
      <c r="K45" s="323">
        <f t="shared" si="2"/>
        <v>-7</v>
      </c>
      <c r="L45" s="326">
        <f t="shared" si="3"/>
        <v>-4.2553191489361701E-2</v>
      </c>
      <c r="M45" s="301">
        <f t="shared" si="4"/>
        <v>3.4782608695652175E-3</v>
      </c>
      <c r="N45" s="302">
        <f t="shared" si="5"/>
        <v>-6.3063063063063061E-3</v>
      </c>
    </row>
    <row r="46" spans="1:14" ht="21.75">
      <c r="A46" s="255" t="s">
        <v>45</v>
      </c>
      <c r="B46" s="261" t="s">
        <v>54</v>
      </c>
      <c r="C46" s="308">
        <v>124</v>
      </c>
      <c r="D46" s="299">
        <v>739</v>
      </c>
      <c r="E46" s="311">
        <v>982</v>
      </c>
      <c r="F46" s="318">
        <v>133</v>
      </c>
      <c r="G46" s="299">
        <v>752</v>
      </c>
      <c r="H46" s="319">
        <v>974</v>
      </c>
      <c r="I46" s="314">
        <f t="shared" si="0"/>
        <v>-9</v>
      </c>
      <c r="J46" s="300">
        <f t="shared" si="1"/>
        <v>-13</v>
      </c>
      <c r="K46" s="323">
        <f t="shared" si="2"/>
        <v>8</v>
      </c>
      <c r="L46" s="326">
        <f t="shared" si="3"/>
        <v>-6.7669172932330823E-2</v>
      </c>
      <c r="M46" s="301">
        <f t="shared" si="4"/>
        <v>-1.7287234042553192E-2</v>
      </c>
      <c r="N46" s="302">
        <f t="shared" si="5"/>
        <v>8.2135523613963042E-3</v>
      </c>
    </row>
    <row r="47" spans="1:14" ht="21.75">
      <c r="A47" s="255" t="s">
        <v>46</v>
      </c>
      <c r="B47" s="261" t="s">
        <v>55</v>
      </c>
      <c r="C47" s="308">
        <v>3</v>
      </c>
      <c r="D47" s="299">
        <v>14</v>
      </c>
      <c r="E47" s="311">
        <v>24</v>
      </c>
      <c r="F47" s="318">
        <v>4</v>
      </c>
      <c r="G47" s="299">
        <v>16</v>
      </c>
      <c r="H47" s="319">
        <v>23</v>
      </c>
      <c r="I47" s="314">
        <f t="shared" si="0"/>
        <v>-1</v>
      </c>
      <c r="J47" s="300">
        <f t="shared" si="1"/>
        <v>-2</v>
      </c>
      <c r="K47" s="323">
        <f t="shared" si="2"/>
        <v>1</v>
      </c>
      <c r="L47" s="326">
        <f t="shared" si="3"/>
        <v>-0.25</v>
      </c>
      <c r="M47" s="301">
        <f t="shared" si="4"/>
        <v>-0.125</v>
      </c>
      <c r="N47" s="302">
        <f t="shared" si="5"/>
        <v>4.3478260869565216E-2</v>
      </c>
    </row>
    <row r="48" spans="1:14" ht="21.75">
      <c r="A48" s="255" t="s">
        <v>26</v>
      </c>
      <c r="B48" s="261" t="s">
        <v>54</v>
      </c>
      <c r="C48" s="308">
        <v>242</v>
      </c>
      <c r="D48" s="299">
        <v>706</v>
      </c>
      <c r="E48" s="311">
        <v>777</v>
      </c>
      <c r="F48" s="318">
        <v>228</v>
      </c>
      <c r="G48" s="299">
        <v>662</v>
      </c>
      <c r="H48" s="319">
        <v>738</v>
      </c>
      <c r="I48" s="314">
        <f t="shared" si="0"/>
        <v>14</v>
      </c>
      <c r="J48" s="300">
        <f t="shared" si="1"/>
        <v>44</v>
      </c>
      <c r="K48" s="323">
        <f t="shared" si="2"/>
        <v>39</v>
      </c>
      <c r="L48" s="326">
        <f t="shared" si="3"/>
        <v>6.1403508771929821E-2</v>
      </c>
      <c r="M48" s="301">
        <f t="shared" si="4"/>
        <v>6.6465256797583083E-2</v>
      </c>
      <c r="N48" s="302">
        <f t="shared" si="5"/>
        <v>5.2845528455284556E-2</v>
      </c>
    </row>
    <row r="49" spans="1:14" ht="22.5" thickBot="1">
      <c r="A49" s="256" t="s">
        <v>47</v>
      </c>
      <c r="B49" s="262" t="s">
        <v>55</v>
      </c>
      <c r="C49" s="309">
        <v>18</v>
      </c>
      <c r="D49" s="303">
        <v>50</v>
      </c>
      <c r="E49" s="312">
        <v>52</v>
      </c>
      <c r="F49" s="320">
        <v>13</v>
      </c>
      <c r="G49" s="303">
        <v>50</v>
      </c>
      <c r="H49" s="321">
        <v>52</v>
      </c>
      <c r="I49" s="315">
        <f t="shared" si="0"/>
        <v>5</v>
      </c>
      <c r="J49" s="304">
        <f t="shared" si="1"/>
        <v>0</v>
      </c>
      <c r="K49" s="324">
        <f t="shared" si="2"/>
        <v>0</v>
      </c>
      <c r="L49" s="327">
        <f t="shared" si="3"/>
        <v>0.38461538461538464</v>
      </c>
      <c r="M49" s="305">
        <f t="shared" si="4"/>
        <v>0</v>
      </c>
      <c r="N49" s="306">
        <f t="shared" si="5"/>
        <v>0</v>
      </c>
    </row>
    <row r="50" spans="1:14" ht="26.25" thickTop="1" thickBot="1">
      <c r="A50" s="187" t="s">
        <v>48</v>
      </c>
      <c r="B50" s="192"/>
      <c r="C50" s="293">
        <f>SUM(C5:C49)</f>
        <v>12679</v>
      </c>
      <c r="D50" s="293">
        <f t="shared" ref="D50:E50" si="12">SUM(D5:D49)</f>
        <v>63346</v>
      </c>
      <c r="E50" s="293">
        <f t="shared" si="12"/>
        <v>79296</v>
      </c>
      <c r="F50" s="293">
        <f>SUM(F5:F49)</f>
        <v>12532</v>
      </c>
      <c r="G50" s="293">
        <f t="shared" ref="G50:H50" si="13">SUM(G5:G49)</f>
        <v>63348</v>
      </c>
      <c r="H50" s="293">
        <f t="shared" si="13"/>
        <v>78445</v>
      </c>
      <c r="I50" s="293">
        <f>SUM(I5:I49)</f>
        <v>147</v>
      </c>
      <c r="J50" s="293">
        <f t="shared" ref="J50:K50" si="14">SUM(J5:J49)</f>
        <v>-2</v>
      </c>
      <c r="K50" s="293">
        <f t="shared" si="14"/>
        <v>851</v>
      </c>
      <c r="L50" s="294">
        <f>+IFERROR(I50/F50,0)</f>
        <v>1.1729971273539738E-2</v>
      </c>
      <c r="M50" s="294">
        <f t="shared" si="4"/>
        <v>-3.1571636042179706E-5</v>
      </c>
      <c r="N50" s="294">
        <f t="shared" si="5"/>
        <v>1.0848365096564472E-2</v>
      </c>
    </row>
    <row r="51" spans="1:14" ht="15.75" thickTop="1"/>
  </sheetData>
  <sheetProtection password="D3D2" sheet="1" objects="1" scenarios="1"/>
  <mergeCells count="9">
    <mergeCell ref="B1:N1"/>
    <mergeCell ref="A3:A4"/>
    <mergeCell ref="I3:K3"/>
    <mergeCell ref="L3:N3"/>
    <mergeCell ref="M2:N2"/>
    <mergeCell ref="C2:L2"/>
    <mergeCell ref="D3:E3"/>
    <mergeCell ref="G3:H3"/>
    <mergeCell ref="B3:B4"/>
  </mergeCells>
  <conditionalFormatting sqref="I5:I49">
    <cfRule type="expression" dxfId="35" priority="53">
      <formula>I5=IF($B5="Entre 5000-20000",MAX(IF(($B$5:$B$49="Entre 5000-20000"),I$5:I$49,"")))</formula>
    </cfRule>
    <cfRule type="expression" dxfId="34" priority="54">
      <formula>I5=IF($B5="Entre 5000-20000",MIN(IF(($B$5:$B$49="Entre 5000-20000"),I$5:I$49,"")))</formula>
    </cfRule>
    <cfRule type="expression" dxfId="33" priority="55">
      <formula>I5=IF($B5="Menor 5000",MAX(IF(($B$5:$B$49="Menor 5000"),I$5:I$49,"")))</formula>
    </cfRule>
    <cfRule type="expression" dxfId="32" priority="56">
      <formula>I5=IF($B5="Menor 5000",MIN(IF(($B$5:$B$49="Menor 5000"),I$5:I$49,"")))</formula>
    </cfRule>
    <cfRule type="expression" dxfId="31" priority="57">
      <formula>I5=IF($B5="Mayor 20000",MAX(IF(($B$5:$B$49="Mayor 20000"),I$5:I$49,"")))</formula>
    </cfRule>
    <cfRule type="expression" dxfId="30" priority="58">
      <formula>I5=IF($B5="Mayor 20000",MIN(IF(($B$5:$B$49="Mayor 20000"),I$5:I$49,"")))</formula>
    </cfRule>
  </conditionalFormatting>
  <conditionalFormatting sqref="J5:J49">
    <cfRule type="expression" dxfId="29" priority="37">
      <formula>J5=IF($B5="Entre 5000-20000",MAX(IF(($B$5:$B$49="Entre 5000-20000"),J$5:J$49,"")))</formula>
    </cfRule>
    <cfRule type="expression" dxfId="28" priority="38">
      <formula>J5=IF($B5="Entre 5000-20000",MIN(IF(($B$5:$B$49="Entre 5000-20000"),J$5:J$49,"")))</formula>
    </cfRule>
    <cfRule type="expression" dxfId="27" priority="39">
      <formula>J5=IF($B5="Menor 5000",MAX(IF(($B$5:$B$49="Menor 5000"),J$5:J$49,"")))</formula>
    </cfRule>
    <cfRule type="expression" dxfId="26" priority="40">
      <formula>J5=IF($B5="Menor 5000",MIN(IF(($B$5:$B$49="Menor 5000"),J$5:J$49,"")))</formula>
    </cfRule>
    <cfRule type="expression" dxfId="25" priority="41">
      <formula>J5=IF($B5="Mayor 20000",MAX(IF(($B$5:$B$49="Mayor 20000"),J$5:J$49,"")))</formula>
    </cfRule>
    <cfRule type="expression" dxfId="24" priority="42">
      <formula>J5=IF($B5="Mayor 20000",MIN(IF(($B$5:$B$49="Mayor 20000"),J$5:J$49,"")))</formula>
    </cfRule>
  </conditionalFormatting>
  <conditionalFormatting sqref="K5:K49">
    <cfRule type="expression" dxfId="23" priority="19">
      <formula>K5=IF($B5="Entre 5000-20000",MAX(IF(($B$5:$B$49="Entre 5000-20000"),K$5:K$49,"")))</formula>
    </cfRule>
    <cfRule type="expression" dxfId="22" priority="20">
      <formula>K5=IF($B5="Entre 5000-20000",MIN(IF(($B$5:$B$49="Entre 5000-20000"),K$5:K$49,"")))</formula>
    </cfRule>
    <cfRule type="expression" dxfId="21" priority="21">
      <formula>K5=IF($B5="Menor 5000",MAX(IF(($B$5:$B$49="Menor 5000"),K$5:K$49,"")))</formula>
    </cfRule>
    <cfRule type="expression" dxfId="20" priority="22">
      <formula>K5=IF($B5="Menor 5000",MIN(IF(($B$5:$B$49="Menor 5000"),K$5:K$49,"")))</formula>
    </cfRule>
    <cfRule type="expression" dxfId="19" priority="23">
      <formula>K5=IF($B5="Mayor 20000",MAX(IF(($B$5:$B$49="Mayor 20000"),K$5:K$49,"")))</formula>
    </cfRule>
    <cfRule type="expression" dxfId="18" priority="24">
      <formula>K5=IF($B5="Mayor 20000",MIN(IF(($B$5:$B$49="Mayor 20000"),K$5:K$49,"")))</formula>
    </cfRule>
  </conditionalFormatting>
  <conditionalFormatting sqref="L5:L49">
    <cfRule type="expression" dxfId="17" priority="13">
      <formula>L5=IF($B5="Entre 5000-20000",MAX(IF(($B$5:$B$49="Entre 5000-20000"),L$5:L$49,"")))</formula>
    </cfRule>
    <cfRule type="expression" dxfId="16" priority="14">
      <formula>L5=IF($B5="Entre 5000-20000",MIN(IF(($B$5:$B$49="Entre 5000-20000"),L$5:L$49,"")))</formula>
    </cfRule>
    <cfRule type="expression" dxfId="15" priority="15">
      <formula>L5=IF($B5="Menor 5000",MAX(IF(($B$5:$B$49="Menor 5000"),L$5:L$49,"")))</formula>
    </cfRule>
    <cfRule type="expression" dxfId="14" priority="16">
      <formula>L5=IF($B5="Menor 5000",MIN(IF(($B$5:$B$49="Menor 5000"),L$5:L$49,"")))</formula>
    </cfRule>
    <cfRule type="expression" dxfId="13" priority="17">
      <formula>L5=IF($B5="Mayor 20000",MAX(IF(($B$5:$B$49="Mayor 20000"),L$5:L$49,"")))</formula>
    </cfRule>
    <cfRule type="expression" dxfId="12" priority="18">
      <formula>L5=IF($B5="Mayor 20000",MIN(IF(($B$5:$B$49="Mayor 20000"),L$5:L$49,"")))</formula>
    </cfRule>
  </conditionalFormatting>
  <conditionalFormatting sqref="M5:M49">
    <cfRule type="expression" dxfId="11" priority="7">
      <formula>M5=IF($B5="Entre 5000-20000",MAX(IF(($B$5:$B$49="Entre 5000-20000"),M$5:M$49,"")))</formula>
    </cfRule>
    <cfRule type="expression" dxfId="10" priority="8">
      <formula>M5=IF($B5="Entre 5000-20000",MIN(IF(($B$5:$B$49="Entre 5000-20000"),M$5:M$49,"")))</formula>
    </cfRule>
    <cfRule type="expression" dxfId="9" priority="9">
      <formula>M5=IF($B5="Menor 5000",MAX(IF(($B$5:$B$49="Menor 5000"),M$5:M$49,"")))</formula>
    </cfRule>
    <cfRule type="expression" dxfId="8" priority="10">
      <formula>M5=IF($B5="Menor 5000",MIN(IF(($B$5:$B$49="Menor 5000"),M$5:M$49,"")))</formula>
    </cfRule>
    <cfRule type="expression" dxfId="7" priority="11">
      <formula>M5=IF($B5="Mayor 20000",MAX(IF(($B$5:$B$49="Mayor 20000"),M$5:M$49,"")))</formula>
    </cfRule>
    <cfRule type="expression" dxfId="6" priority="12">
      <formula>M5=IF($B5="Mayor 20000",MIN(IF(($B$5:$B$49="Mayor 20000"),M$5:M$49,"")))</formula>
    </cfRule>
  </conditionalFormatting>
  <conditionalFormatting sqref="N5:N49">
    <cfRule type="expression" dxfId="5" priority="1">
      <formula>N5=IF($B5="Entre 5000-20000",MAX(IF(($B$5:$B$49="Entre 5000-20000"),N$5:N$49,"")))</formula>
    </cfRule>
    <cfRule type="expression" dxfId="4" priority="2">
      <formula>N5=IF($B5="Entre 5000-20000",MIN(IF(($B$5:$B$49="Entre 5000-20000"),N$5:N$49,"")))</formula>
    </cfRule>
    <cfRule type="expression" dxfId="3" priority="3">
      <formula>N5=IF($B5="Menor 5000",MAX(IF(($B$5:$B$49="Menor 5000"),N$5:N$49,"")))</formula>
    </cfRule>
    <cfRule type="expression" dxfId="2" priority="4">
      <formula>N5=IF($B5="Menor 5000",MIN(IF(($B$5:$B$49="Menor 5000"),N$5:N$49,"")))</formula>
    </cfRule>
    <cfRule type="expression" dxfId="1" priority="5">
      <formula>N5=IF($B5="Mayor 20000",MAX(IF(($B$5:$B$49="Mayor 20000"),N$5:N$49,"")))</formula>
    </cfRule>
    <cfRule type="expression" dxfId="0" priority="6">
      <formula>N5=IF($B5="Mayor 20000",MIN(IF(($B$5:$B$49="Mayor 20000"),N$5:N$49,"")))</formula>
    </cfRule>
  </conditionalFormatting>
  <printOptions horizontalCentered="1"/>
  <pageMargins left="0.51181102362204722" right="0.51181102362204722" top="0.55118110236220474" bottom="0.55118110236220474" header="0" footer="0.19685039370078741"/>
  <pageSetup paperSize="9" scale="45" orientation="landscape" r:id="rId1"/>
  <headerFooter>
    <oddFooter>&amp;L&amp;"Rockwell,Normal"&amp;12&amp;K04-017Fuentes: Servicio Público de Empleo Estatal
Informe elaborado por el IEDT. Diputación de Cádiz&amp;R&amp;"Rockwell,Normal"&amp;12&amp;K04-024 6 de 8</oddFooter>
  </headerFooter>
  <drawing r:id="rId2"/>
</worksheet>
</file>

<file path=xl/worksheets/sheet6.xml><?xml version="1.0" encoding="utf-8"?>
<worksheet xmlns="http://schemas.openxmlformats.org/spreadsheetml/2006/main" xmlns:r="http://schemas.openxmlformats.org/officeDocument/2006/relationships">
  <dimension ref="A1:T192"/>
  <sheetViews>
    <sheetView showGridLines="0" view="pageLayout" zoomScale="74" zoomScaleNormal="82" zoomScaleSheetLayoutView="74" zoomScalePageLayoutView="74" workbookViewId="0">
      <selection activeCell="E159" sqref="E159"/>
    </sheetView>
  </sheetViews>
  <sheetFormatPr baseColWidth="10" defaultColWidth="2.28515625" defaultRowHeight="15"/>
  <cols>
    <col min="1" max="1" width="26.140625" customWidth="1"/>
    <col min="2" max="2" width="7.5703125" customWidth="1"/>
    <col min="3" max="3" width="32.85546875" customWidth="1"/>
    <col min="4" max="4" width="7.5703125" customWidth="1"/>
    <col min="5" max="5" width="32.85546875" customWidth="1"/>
    <col min="6" max="6" width="9.7109375" customWidth="1"/>
    <col min="7" max="7" width="32.85546875" customWidth="1"/>
    <col min="8" max="8" width="9.7109375" customWidth="1"/>
    <col min="9" max="9" width="32.85546875" customWidth="1"/>
    <col min="10" max="10" width="11.5703125" style="1" hidden="1" customWidth="1"/>
    <col min="11" max="11" width="15.28515625" hidden="1" customWidth="1"/>
    <col min="12" max="12" width="14.85546875" hidden="1" customWidth="1"/>
    <col min="13" max="13" width="15.85546875" hidden="1" customWidth="1"/>
    <col min="14" max="14" width="9.7109375" hidden="1" customWidth="1"/>
    <col min="15" max="15" width="11.85546875" hidden="1" customWidth="1"/>
    <col min="16" max="16" width="9.42578125" hidden="1" customWidth="1"/>
    <col min="17" max="17" width="9.7109375" hidden="1" customWidth="1"/>
    <col min="18" max="18" width="2.28515625" hidden="1" customWidth="1"/>
    <col min="19" max="19" width="7.85546875" hidden="1" customWidth="1"/>
    <col min="20" max="20" width="19" hidden="1" customWidth="1"/>
  </cols>
  <sheetData>
    <row r="1" spans="1:17" ht="63" customHeight="1">
      <c r="D1" s="428" t="s">
        <v>81</v>
      </c>
      <c r="E1" s="428"/>
      <c r="F1" s="428"/>
      <c r="G1" s="428"/>
      <c r="H1" s="428"/>
      <c r="I1" s="151" t="str">
        <f>UPPER(TEXT(FECHA.ACT,"MMMM AAAA"))</f>
        <v>MARZO 2022</v>
      </c>
      <c r="J1" s="8"/>
      <c r="K1" s="120">
        <f>+EDATE(I1,-1)</f>
        <v>44593</v>
      </c>
      <c r="L1" s="120">
        <f>+EDATE(I1,-12)</f>
        <v>44256</v>
      </c>
    </row>
    <row r="2" spans="1:17" ht="11.25" customHeight="1">
      <c r="J2" s="127" t="str">
        <f>UPPER(TEXT(I1,"mmmm aaaa"))</f>
        <v>MARZO 2022</v>
      </c>
      <c r="K2" s="127" t="str">
        <f>UPPER(TEXT(K1,"mmmm aaaa"))</f>
        <v>FEBRERO 2022</v>
      </c>
      <c r="L2" s="127" t="str">
        <f>UPPER(TEXT(L1,"mmmm aaaa"))</f>
        <v>MARZO 2021</v>
      </c>
      <c r="N2" s="74"/>
    </row>
    <row r="3" spans="1:17" s="12" customFormat="1" ht="24" customHeight="1" thickBot="1">
      <c r="A3" s="30" t="str">
        <f>"COMPARATIVA VALORES INTERMENSUALES ("&amp;J2&amp;" - "&amp;K2&amp;")"</f>
        <v>COMPARATIVA VALORES INTERMENSUALES (MARZO 2022 - FEBRERO 2022)</v>
      </c>
      <c r="B3" s="26"/>
      <c r="C3" s="26"/>
      <c r="D3" s="26"/>
      <c r="E3" s="26"/>
      <c r="F3" s="24"/>
      <c r="G3" s="24"/>
      <c r="H3" s="24"/>
      <c r="I3" s="24"/>
      <c r="J3" s="11"/>
    </row>
    <row r="4" spans="1:17" s="1" customFormat="1" ht="10.5" customHeight="1" thickTop="1">
      <c r="A4" s="15"/>
      <c r="B4" s="15"/>
      <c r="C4" s="15"/>
      <c r="D4" s="15"/>
      <c r="E4" s="15"/>
      <c r="F4" s="15"/>
      <c r="G4" s="15"/>
      <c r="H4" s="15"/>
      <c r="I4" s="15"/>
      <c r="J4" s="2"/>
    </row>
    <row r="5" spans="1:17" s="1" customFormat="1" ht="18.75">
      <c r="A5" s="463" t="s">
        <v>77</v>
      </c>
      <c r="B5" s="464"/>
      <c r="C5" s="464"/>
      <c r="D5" s="464"/>
      <c r="E5" s="467" t="str">
        <f>+IF(F6&gt;0,"SUBE",IF(F6&lt;0,"BAJA","NO VARIA"))</f>
        <v>SUBE</v>
      </c>
      <c r="F5" s="404" t="s">
        <v>69</v>
      </c>
      <c r="G5" s="404"/>
      <c r="H5" s="404" t="s">
        <v>70</v>
      </c>
      <c r="I5" s="410"/>
      <c r="J5" s="2"/>
    </row>
    <row r="6" spans="1:17" s="1" customFormat="1" ht="19.5" thickBot="1">
      <c r="A6" s="465"/>
      <c r="B6" s="466"/>
      <c r="C6" s="466"/>
      <c r="D6" s="466"/>
      <c r="E6" s="468"/>
      <c r="F6" s="451">
        <f>+'VAR INTERMENSUAL-INTERANUAL'!$G$50</f>
        <v>996</v>
      </c>
      <c r="G6" s="452"/>
      <c r="H6" s="449">
        <f>+'VAR INTERMENSUAL-INTERANUAL'!$H$50</f>
        <v>6.453912198282845E-3</v>
      </c>
      <c r="I6" s="450"/>
      <c r="J6" s="2"/>
    </row>
    <row r="7" spans="1:17" s="1" customFormat="1" ht="9" customHeight="1" thickTop="1">
      <c r="A7" s="15"/>
      <c r="B7" s="15"/>
      <c r="C7" s="15"/>
      <c r="D7" s="15"/>
      <c r="E7" s="15"/>
      <c r="F7" s="15"/>
      <c r="G7" s="15"/>
      <c r="H7" s="15"/>
      <c r="I7" s="15"/>
      <c r="J7" s="2"/>
    </row>
    <row r="8" spans="1:17" s="12" customFormat="1" ht="26.25" customHeight="1">
      <c r="A8" s="435" t="s">
        <v>53</v>
      </c>
      <c r="B8" s="429" t="s">
        <v>61</v>
      </c>
      <c r="C8" s="430"/>
      <c r="D8" s="430"/>
      <c r="E8" s="431"/>
      <c r="F8" s="432" t="s">
        <v>62</v>
      </c>
      <c r="G8" s="433"/>
      <c r="H8" s="433"/>
      <c r="I8" s="434"/>
      <c r="J8" s="10"/>
    </row>
    <row r="9" spans="1:17" ht="19.5" customHeight="1">
      <c r="A9" s="435"/>
      <c r="B9" s="436" t="s">
        <v>82</v>
      </c>
      <c r="C9" s="437"/>
      <c r="D9" s="437" t="s">
        <v>83</v>
      </c>
      <c r="E9" s="438"/>
      <c r="F9" s="439" t="s">
        <v>82</v>
      </c>
      <c r="G9" s="440"/>
      <c r="H9" s="439" t="s">
        <v>83</v>
      </c>
      <c r="I9" s="441"/>
      <c r="J9" s="10"/>
    </row>
    <row r="10" spans="1:17" ht="15.95" customHeight="1">
      <c r="A10" s="399" t="s">
        <v>55</v>
      </c>
      <c r="B10" s="36">
        <f>+IF(J10&gt;0,J10,"")</f>
        <v>44</v>
      </c>
      <c r="C10" s="44" t="str">
        <f>IF($J$10&gt;0,K10,"NO SUBE EN ESTE RANGO")</f>
        <v>ESPERA</v>
      </c>
      <c r="D10" s="36">
        <f>+IF(L10&lt;0,L10,"")</f>
        <v>-13</v>
      </c>
      <c r="E10" s="31" t="str">
        <f>IF($L$10&lt;0,M10,"NO BAJA EN ESTE RANGO")</f>
        <v>CASTELLAR DE LA FRONTERA</v>
      </c>
      <c r="F10" s="130">
        <f>+IF(N10&gt;0,N10,"")</f>
        <v>0.14383561643835616</v>
      </c>
      <c r="G10" s="44" t="str">
        <f>IF($N$10&gt;0,O10,"NO SUBE EN ESTE RANGO")</f>
        <v>ALGAR</v>
      </c>
      <c r="H10" s="137">
        <f>+IF(P10&lt;0,P10,"")</f>
        <v>-5.3333333333333337E-2</v>
      </c>
      <c r="I10" s="37" t="str">
        <f>IF($P$10&lt;0,Q10,"NO BAJA EN ESTE RANGO")</f>
        <v>BENAOCAZ</v>
      </c>
      <c r="J10" s="121">
        <f t="array" ref="J10">+MAX(IF(RANGOS=$A$10,ABSMENSUAL))</f>
        <v>44</v>
      </c>
      <c r="K10" s="95" t="str">
        <f t="array" ref="K10">IFERROR(INDEX(MUNICIPIOS,SMALL(IF(MAX(IF(RANGOS=$A$10,ABSMENSUAL,""))=IF(RANGOS=$A$10,ABSMENSUAL,""),ROW(ABSMENSUAL)-MIN(ROW(ABSMENSUAL))+1,""),ROW()-9)),"")</f>
        <v>ESPERA</v>
      </c>
      <c r="L10" s="122">
        <f t="array" ref="L10">+MIN(IF(RANGOS=A10,ABSMENSUAL))</f>
        <v>-13</v>
      </c>
      <c r="M10" s="95" t="str">
        <f t="array" ref="M10">IFERROR(INDEX(MUNICIPIOS,SMALL(IF(MIN(IF(RANGOS=$A$10,ABSMENSUAL,""))=IF(RANGOS=$A$10,ABSMENSUAL,""),ROW(ABSMENSUAL)-MIN(ROW(ABSMENSUAL))+1,""),ROW()-9)),"")</f>
        <v>CASTELLAR DE LA FRONTERA</v>
      </c>
      <c r="N10" s="123">
        <f t="array" ref="N10">+MAX(IF(RANGOS=A10,RELATMENSUAL))</f>
        <v>0.14383561643835616</v>
      </c>
      <c r="O10" s="95" t="str">
        <f t="array" ref="O10">IFERROR(INDEX(MUNICIPIOS,SMALL(IF(MAX(IF(RANGOS=$A$10,RELATMENSUAL,""))=IF(RANGOS=$A$10,RELATMENSUAL,""),ROW(RELATMENSUAL)-MIN(ROW(RELATMENSUAL))+1,""),ROW()-9)),"")</f>
        <v>ALGAR</v>
      </c>
      <c r="P10" s="124">
        <f t="array" ref="P10">+MIN(IF(RANGOS=A10,RELATMENSUAL))</f>
        <v>-5.3333333333333337E-2</v>
      </c>
      <c r="Q10" s="95" t="str">
        <f t="array" ref="Q10">IFERROR(INDEX(MUNICIPIOS,SMALL(IF(MIN(IF(RANGOS=$A$10,RELATMENSUAL,""))=IF(RANGOS=$A$10,RELATMENSUAL,""),ROW(RELATMENSUAL)-MIN(ROW(RELATMENSUAL))+1,""),ROW()-9)),"")</f>
        <v>BENAOCAZ</v>
      </c>
    </row>
    <row r="11" spans="1:17" ht="15.95" customHeight="1">
      <c r="A11" s="399"/>
      <c r="B11" s="131"/>
      <c r="C11" s="29" t="str">
        <f>IF($J$10&gt;0,K11,"")</f>
        <v/>
      </c>
      <c r="D11" s="38"/>
      <c r="E11" s="33" t="str">
        <f>IF($L$10&lt;0,M11,"")</f>
        <v/>
      </c>
      <c r="F11" s="132"/>
      <c r="G11" s="29" t="str">
        <f>IF($N$10&gt;0,O11,"")</f>
        <v/>
      </c>
      <c r="H11" s="32"/>
      <c r="I11" s="27" t="str">
        <f>IF($P$10&lt;0,Q11,"")</f>
        <v/>
      </c>
      <c r="J11" s="125"/>
      <c r="K11" s="95" t="str">
        <f t="array" ref="K11">IFERROR(INDEX(MUNICIPIOS,SMALL(IF(MAX(IF(RANGOS=$A$10,ABSMENSUAL,""))=IF(RANGOS=$A$10,ABSMENSUAL,""),ROW(ABSMENSUAL)-MIN(ROW(ABSMENSUAL))+1,""),ROW()-9)),"")</f>
        <v/>
      </c>
      <c r="L11" s="122"/>
      <c r="M11" s="95" t="str">
        <f t="array" ref="M11">IFERROR(INDEX(MUNICIPIOS,SMALL(IF(MIN(IF(RANGOS=$A$10,ABSMENSUAL,""))=IF(RANGOS=$A$10,ABSMENSUAL,""),ROW(ABSMENSUAL)-MIN(ROW(ABSMENSUAL))+1,""),ROW()-9)),"")</f>
        <v/>
      </c>
      <c r="N11" s="122"/>
      <c r="O11" s="95" t="str">
        <f t="array" ref="O11">IFERROR(INDEX(MUNICIPIOS,SMALL(IF(MAX(IF(RANGOS=$A$10,RELATMENSUAL,""))=IF(RANGOS=$A$10,RELATMENSUAL,""),ROW(RELATMENSUAL)-MIN(ROW(RELATMENSUAL))+1,""),ROW()-9)),"")</f>
        <v/>
      </c>
      <c r="P11" s="119"/>
      <c r="Q11" s="95" t="str">
        <f t="array" ref="Q11">IFERROR(INDEX(MUNICIPIOS,SMALL(IF(MIN(IF(RANGOS=$A$10,RELATMENSUAL,""))=IF(RANGOS=$A$10,RELATMENSUAL,""),ROW(RELATMENSUAL)-MIN(ROW(RELATMENSUAL))+1,""),ROW()-9)),"")</f>
        <v/>
      </c>
    </row>
    <row r="12" spans="1:17" ht="15.95" customHeight="1">
      <c r="A12" s="399"/>
      <c r="B12" s="131"/>
      <c r="C12" s="29" t="str">
        <f>IF($J$10&gt;0,K12,"")</f>
        <v/>
      </c>
      <c r="D12" s="38"/>
      <c r="E12" s="33" t="str">
        <f>IF($L$10&lt;0,M12,"")</f>
        <v/>
      </c>
      <c r="F12" s="132"/>
      <c r="G12" s="29" t="str">
        <f>IF($N$10&gt;0,O12,"")</f>
        <v/>
      </c>
      <c r="H12" s="32"/>
      <c r="I12" s="27" t="str">
        <f>IF($P$10&lt;0,Q12,"")</f>
        <v/>
      </c>
      <c r="J12" s="125"/>
      <c r="K12" s="95" t="str">
        <f t="array" ref="K12">IFERROR(INDEX(MUNICIPIOS,SMALL(IF(MAX(IF(RANGOS=$A$10,ABSMENSUAL,""))=IF(RANGOS=$A$10,ABSMENSUAL,""),ROW(ABSMENSUAL)-MIN(ROW(ABSMENSUAL))+1,""),ROW()-9)),"")</f>
        <v/>
      </c>
      <c r="L12" s="122"/>
      <c r="M12" s="95" t="str">
        <f t="array" ref="M12">IFERROR(INDEX(MUNICIPIOS,SMALL(IF(MIN(IF(RANGOS=$A$10,ABSMENSUAL,""))=IF(RANGOS=$A$10,ABSMENSUAL,""),ROW(ABSMENSUAL)-MIN(ROW(ABSMENSUAL))+1,""),ROW()-9)),"")</f>
        <v/>
      </c>
      <c r="N12" s="122"/>
      <c r="O12" s="95" t="str">
        <f t="array" ref="O12">IFERROR(INDEX(MUNICIPIOS,SMALL(IF(MAX(IF(RANGOS=$A$10,RELATMENSUAL,""))=IF(RANGOS=$A$10,RELATMENSUAL,""),ROW(RELATMENSUAL)-MIN(ROW(RELATMENSUAL))+1,""),ROW()-9)),"")</f>
        <v/>
      </c>
      <c r="P12" s="119"/>
      <c r="Q12" s="95" t="str">
        <f t="array" ref="Q12">IFERROR(INDEX(MUNICIPIOS,SMALL(IF(MIN(IF(RANGOS=$A$10,RELATMENSUAL,""))=IF(RANGOS=$A$10,RELATMENSUAL,""),ROW(RELATMENSUAL)-MIN(ROW(RELATMENSUAL))+1,""),ROW()-9)),"")</f>
        <v/>
      </c>
    </row>
    <row r="13" spans="1:17" ht="15.95" customHeight="1">
      <c r="A13" s="397" t="s">
        <v>54</v>
      </c>
      <c r="B13" s="36">
        <f>+IF(J13&gt;0,J13,"")</f>
        <v>97</v>
      </c>
      <c r="C13" s="44" t="str">
        <f>IF($J$13&gt;0,K13,"NO SUBE EN ESTE RANGO")</f>
        <v>VILLAMARTIN</v>
      </c>
      <c r="D13" s="36">
        <f>+IF(L13&lt;0,L13,"")</f>
        <v>-110</v>
      </c>
      <c r="E13" s="31" t="str">
        <f>IF($L$13&lt;0,M13,"NO BAJA EN ESTE RANGO")</f>
        <v>TARIFA</v>
      </c>
      <c r="F13" s="130">
        <f>+IF(N13&gt;0,N13,"")</f>
        <v>8.7227414330218064E-2</v>
      </c>
      <c r="G13" s="44" t="str">
        <f>IF($N$13&gt;0,O13,"NO SUBE EN ESTE RANGO")</f>
        <v>TREBUJENA</v>
      </c>
      <c r="H13" s="137">
        <f>+IF(P13&lt;0,P13,"")</f>
        <v>-5.5837563451776651E-2</v>
      </c>
      <c r="I13" s="37" t="str">
        <f>IF($P$13&lt;0,Q13,"NO BAJA EN ESTE RANGO")</f>
        <v>TARIFA</v>
      </c>
      <c r="J13" s="119">
        <f t="array" ref="J13">+MAX(IF(RANGOS=A13,ABSMENSUAL))</f>
        <v>97</v>
      </c>
      <c r="K13" s="95" t="str">
        <f t="array" ref="K13">IFERROR(INDEX(MUNICIPIOS,SMALL(IF(MAX(IF(RANGOS=$A$13,ABSMENSUAL,""))=IF(RANGOS=$A$13,ABSMENSUAL,""),ROW(ABSMENSUAL)-MIN(ROW(ABSMENSUAL))+1,""),ROW()-12)),"")</f>
        <v>VILLAMARTIN</v>
      </c>
      <c r="L13" s="122">
        <f t="array" ref="L13">+MIN(IF(RANGOS=A13,ABSMENSUAL))</f>
        <v>-110</v>
      </c>
      <c r="M13" s="95" t="str">
        <f t="array" ref="M13">IFERROR(INDEX(MUNICIPIOS,SMALL(IF(MIN(IF(RANGOS=$A$13,ABSMENSUAL,""))=IF(RANGOS=$A$13,ABSMENSUAL,""),ROW(ABSMENSUAL)-MIN(ROW(ABSMENSUAL))+1,""),ROW()-12)),"")</f>
        <v>TARIFA</v>
      </c>
      <c r="N13" s="123">
        <f t="array" ref="N13">+MAX(IF(RANGOS=A13,RELATMENSUAL))</f>
        <v>8.7227414330218064E-2</v>
      </c>
      <c r="O13" s="95" t="str">
        <f t="array" ref="O13">IFERROR(INDEX(MUNICIPIOS,SMALL(IF(MAX(IF(RANGOS=$A$13,RELATMENSUAL,""))=IF(RANGOS=$A$13,RELATMENSUAL,""),ROW(RELATMENSUAL)-MIN(ROW(RELATMENSUAL))+1,""),ROW()-12)),"")</f>
        <v>TREBUJENA</v>
      </c>
      <c r="P13" s="124">
        <f t="array" ref="P13">+MIN(IF(RANGOS=A13,RELATMENSUAL))</f>
        <v>-5.5837563451776651E-2</v>
      </c>
      <c r="Q13" s="95" t="str">
        <f t="array" ref="Q13">IFERROR(INDEX(MUNICIPIOS,SMALL(IF(MIN(IF(RANGOS=$A$13,RELATMENSUAL,""))=IF(RANGOS=$A$13,RELATMENSUAL,""),ROW(RELATMENSUAL)-MIN(ROW(RELATMENSUAL))+1,""),ROW()-12)),"")</f>
        <v>TARIFA</v>
      </c>
    </row>
    <row r="14" spans="1:17" ht="15.95" customHeight="1">
      <c r="A14" s="397"/>
      <c r="B14" s="32"/>
      <c r="C14" s="29" t="str">
        <f>IF($J$13&gt;0,K14,"")</f>
        <v/>
      </c>
      <c r="D14" s="38"/>
      <c r="E14" s="33" t="str">
        <f>IF($L$13&lt;0,M14,"")</f>
        <v/>
      </c>
      <c r="F14" s="133"/>
      <c r="G14" s="29" t="str">
        <f>IF($N$13&gt;0,O14,"")</f>
        <v/>
      </c>
      <c r="H14" s="46"/>
      <c r="I14" s="27" t="str">
        <f>IF($P$13&lt;0,Q14,"")</f>
        <v/>
      </c>
      <c r="J14" s="119"/>
      <c r="K14" s="95" t="str">
        <f t="array" ref="K14">IFERROR(INDEX(MUNICIPIOS,SMALL(IF(MAX(IF(RANGOS=$A$13,ABSMENSUAL,""))=IF(RANGOS=$A$13,ABSMENSUAL,""),ROW(ABSMENSUAL)-MIN(ROW(ABSMENSUAL))+1,""),ROW()-12)),"")</f>
        <v/>
      </c>
      <c r="L14" s="122"/>
      <c r="M14" s="95" t="str">
        <f t="array" ref="M14">IFERROR(INDEX(MUNICIPIOS,SMALL(IF(MIN(IF(RANGOS=$A$13,ABSMENSUAL,""))=IF(RANGOS=$A$13,ABSMENSUAL,""),ROW(ABSMENSUAL)-MIN(ROW(ABSMENSUAL))+1,""),ROW()-12)),"")</f>
        <v/>
      </c>
      <c r="N14" s="123"/>
      <c r="O14" s="95" t="str">
        <f t="array" ref="O14">IFERROR(INDEX(MUNICIPIOS,SMALL(IF(MAX(IF(RANGOS=$A$13,RELATMENSUAL,""))=IF(RANGOS=$A$13,RELATMENSUAL,""),ROW(RELATMENSUAL)-MIN(ROW(RELATMENSUAL))+1,""),ROW()-12)),"")</f>
        <v/>
      </c>
      <c r="P14" s="124"/>
      <c r="Q14" s="95" t="str">
        <f t="array" ref="Q14">IFERROR(INDEX(MUNICIPIOS,SMALL(IF(MIN(IF(RANGOS=$A$13,RELATMENSUAL,""))=IF(RANGOS=$A$13,RELATMENSUAL,""),ROW(RELATMENSUAL)-MIN(ROW(RELATMENSUAL))+1,""),ROW()-12)),"")</f>
        <v/>
      </c>
    </row>
    <row r="15" spans="1:17" ht="15.95" customHeight="1">
      <c r="A15" s="397"/>
      <c r="B15" s="34"/>
      <c r="C15" s="45" t="str">
        <f>IF($J$13&gt;0,K15,"")</f>
        <v/>
      </c>
      <c r="D15" s="39"/>
      <c r="E15" s="35" t="str">
        <f>IF($L$13&lt;0,M15,"")</f>
        <v/>
      </c>
      <c r="F15" s="136"/>
      <c r="G15" s="45" t="str">
        <f>IF($N$13&gt;0,O15,"")</f>
        <v/>
      </c>
      <c r="H15" s="47"/>
      <c r="I15" s="40" t="str">
        <f>IF($P$13&lt;0,Q15,"")</f>
        <v/>
      </c>
      <c r="J15" s="119"/>
      <c r="K15" s="95" t="str">
        <f t="array" ref="K15">IFERROR(INDEX(MUNICIPIOS,SMALL(IF(MAX(IF(RANGOS=$A$13,ABSMENSUAL,""))=IF(RANGOS=$A$13,ABSMENSUAL,""),ROW(ABSMENSUAL)-MIN(ROW(ABSMENSUAL))+1,""),ROW()-12)),"")</f>
        <v/>
      </c>
      <c r="L15" s="122"/>
      <c r="M15" s="95" t="str">
        <f t="array" ref="M15">IFERROR(INDEX(MUNICIPIOS,SMALL(IF(MIN(IF(RANGOS=$A$13,ABSMENSUAL,""))=IF(RANGOS=$A$13,ABSMENSUAL,""),ROW(ABSMENSUAL)-MIN(ROW(ABSMENSUAL))+1,""),ROW()-12)),"")</f>
        <v/>
      </c>
      <c r="N15" s="123"/>
      <c r="O15" s="95" t="str">
        <f t="array" ref="O15">IFERROR(INDEX(MUNICIPIOS,SMALL(IF(MAX(IF(RANGOS=$A$13,RELATMENSUAL,""))=IF(RANGOS=$A$13,RELATMENSUAL,""),ROW(RELATMENSUAL)-MIN(ROW(RELATMENSUAL))+1,""),ROW()-12)),"")</f>
        <v/>
      </c>
      <c r="P15" s="124"/>
      <c r="Q15" s="95" t="str">
        <f t="array" ref="Q15">IFERROR(INDEX(MUNICIPIOS,SMALL(IF(MIN(IF(RANGOS=$A$13,RELATMENSUAL,""))=IF(RANGOS=$A$13,RELATMENSUAL,""),ROW(RELATMENSUAL)-MIN(ROW(RELATMENSUAL))+1,""),ROW()-12)),"")</f>
        <v/>
      </c>
    </row>
    <row r="16" spans="1:17" ht="15.95" customHeight="1">
      <c r="A16" s="395" t="s">
        <v>56</v>
      </c>
      <c r="B16" s="49">
        <f>+IF(J16&gt;0,J16,"")</f>
        <v>342</v>
      </c>
      <c r="C16" s="29" t="str">
        <f>IF($J$16&gt;0,K16,"NO SUBE EN ESTE RANGO")</f>
        <v>JEREZ DE LA FRONTERA</v>
      </c>
      <c r="D16" s="49">
        <f>+IF(L16&lt;0,L16,"")</f>
        <v>-194</v>
      </c>
      <c r="E16" s="33" t="str">
        <f>IF($L$16&lt;0,M16,"NO BAJA EN ESTE RANGO")</f>
        <v>BARBATE</v>
      </c>
      <c r="F16" s="133">
        <f>+IF(N16&gt;0,N16,"")</f>
        <v>4.8443665059184571E-2</v>
      </c>
      <c r="G16" s="29" t="str">
        <f>IF($N$16&gt;0,O16,"NO SUBE EN ESTE RANGO")</f>
        <v>ARCOS DE LA FRONTERA</v>
      </c>
      <c r="H16" s="138">
        <f>+IF(P16&lt;0,P16,"")</f>
        <v>-4.7701008114089012E-2</v>
      </c>
      <c r="I16" s="27" t="str">
        <f>IF($P$16&lt;0,Q16,"NO BAJA EN ESTE RANGO")</f>
        <v>BARBATE</v>
      </c>
      <c r="J16" s="119">
        <f t="array" ref="J16">+MAX(IF(RANGOS=A16,ABSMENSUAL))</f>
        <v>342</v>
      </c>
      <c r="K16" s="95" t="str">
        <f t="array" ref="K16">IFERROR(INDEX(MUNICIPIOS,SMALL(IF(MAX(IF(RANGOS=$A$16,ABSMENSUAL,""))=IF(RANGOS=$A$16,ABSMENSUAL,""),ROW(ABSMENSUAL)-MIN(ROW(ABSMENSUAL))+1,""),ROW()-15)),"")</f>
        <v>JEREZ DE LA FRONTERA</v>
      </c>
      <c r="L16" s="122">
        <f t="array" ref="L16">+MIN(IF(RANGOS=A16,ABSMENSUAL))</f>
        <v>-194</v>
      </c>
      <c r="M16" s="95" t="str">
        <f t="array" ref="M16">IFERROR(INDEX(MUNICIPIOS,SMALL(IF(MIN(IF(RANGOS=$A$16,ABSMENSUAL,""))=IF(RANGOS=$A$16,ABSMENSUAL,""),ROW(ABSMENSUAL)-MIN(ROW(ABSMENSUAL))+1,""),ROW()-15)),"")</f>
        <v>BARBATE</v>
      </c>
      <c r="N16" s="126">
        <f t="array" ref="N16">+MAX(IF(RANGOS=A16,RELATMENSUAL))</f>
        <v>4.8443665059184571E-2</v>
      </c>
      <c r="O16" s="95" t="str">
        <f t="array" ref="O16">IFERROR(INDEX(MUNICIPIOS,SMALL(IF(MAX(IF(RANGOS=$A$16,RELATMENSUAL,""))=IF(RANGOS=$A$16,RELATMENSUAL,""),ROW(RELATMENSUAL)-MIN(ROW(RELATMENSUAL))+1,""),ROW()-15)),"")</f>
        <v>ARCOS DE LA FRONTERA</v>
      </c>
      <c r="P16" s="124">
        <f t="array" ref="P16">+MIN(IF(RANGOS=A16,RELATMENSUAL))</f>
        <v>-4.7701008114089012E-2</v>
      </c>
      <c r="Q16" s="95" t="str">
        <f t="array" ref="Q16">IFERROR(INDEX(MUNICIPIOS,SMALL(IF(MIN(IF(RANGOS=$A$16,RELATMENSUAL,""))=IF(RANGOS=$A$16,RELATMENSUAL,""),ROW(RELATMENSUAL)-MIN(ROW(RELATMENSUAL))+1,""),ROW()-15)),"")</f>
        <v>BARBATE</v>
      </c>
    </row>
    <row r="17" spans="1:17" ht="15.95" customHeight="1">
      <c r="A17" s="395"/>
      <c r="B17" s="32"/>
      <c r="C17" s="29" t="str">
        <f>IF($J$16&gt;0,K17,"")</f>
        <v/>
      </c>
      <c r="D17" s="38"/>
      <c r="E17" s="33" t="str">
        <f>IF($L$16&lt;0,M17,"")</f>
        <v/>
      </c>
      <c r="F17" s="133"/>
      <c r="G17" s="29" t="str">
        <f>IF($N$16&gt;0,O17,"")</f>
        <v/>
      </c>
      <c r="H17" s="46"/>
      <c r="I17" s="27" t="str">
        <f>IF($P$16&lt;0,Q17,"")</f>
        <v/>
      </c>
      <c r="J17" s="119"/>
      <c r="K17" s="95" t="str">
        <f t="array" ref="K17">IFERROR(INDEX(MUNICIPIOS,SMALL(IF(MAX(IF(RANGOS=$A$16,ABSMENSUAL,""))=IF(RANGOS=$A$16,ABSMENSUAL,""),ROW(ABSMENSUAL)-MIN(ROW(ABSMENSUAL))+1,""),ROW()-15)),"")</f>
        <v/>
      </c>
      <c r="L17" s="122"/>
      <c r="M17" s="95" t="str">
        <f t="array" ref="M17">IFERROR(INDEX(MUNICIPIOS,SMALL(IF(MIN(IF(RANGOS=$A$16,ABSMENSUAL,""))=IF(RANGOS=$A$16,ABSMENSUAL,""),ROW(ABSMENSUAL)-MIN(ROW(ABSMENSUAL))+1,""),ROW()-15)),"")</f>
        <v/>
      </c>
      <c r="N17" s="123"/>
      <c r="O17" s="95" t="str">
        <f t="array" ref="O17">IFERROR(INDEX(MUNICIPIOS,SMALL(IF(MAX(IF(RANGOS=$A$16,RELATMENSUAL,""))=IF(RANGOS=$A$16,RELATMENSUAL,""),ROW(RELATMENSUAL)-MIN(ROW(RELATMENSUAL))+1,""),ROW()-15)),"")</f>
        <v/>
      </c>
      <c r="P17" s="124"/>
      <c r="Q17" s="95" t="str">
        <f t="array" ref="Q17">IFERROR(INDEX(MUNICIPIOS,SMALL(IF(MIN(IF(RANGOS=$A$16,RELATMENSUAL,""))=IF(RANGOS=$A$16,RELATMENSUAL,""),ROW(RELATMENSUAL)-MIN(ROW(RELATMENSUAL))+1,""),ROW()-15)),"")</f>
        <v/>
      </c>
    </row>
    <row r="18" spans="1:17" ht="15.95" customHeight="1" thickBot="1">
      <c r="A18" s="396"/>
      <c r="B18" s="134"/>
      <c r="C18" s="41" t="str">
        <f>IF($J$16&gt;0,K18,"")</f>
        <v/>
      </c>
      <c r="D18" s="42"/>
      <c r="E18" s="43" t="str">
        <f>IF($L$16&lt;0,M18,"")</f>
        <v/>
      </c>
      <c r="F18" s="135"/>
      <c r="G18" s="41" t="str">
        <f>IF($N$16&gt;0,O18,"")</f>
        <v/>
      </c>
      <c r="H18" s="48"/>
      <c r="I18" s="28" t="str">
        <f>IF($P$16&lt;0,Q18,"")</f>
        <v/>
      </c>
      <c r="J18" s="119"/>
      <c r="K18" s="95" t="str">
        <f t="array" ref="K18">IFERROR(INDEX(MUNICIPIOS,SMALL(IF(MAX(IF(RANGOS=$A$16,ABSMENSUAL,""))=IF(RANGOS=$A$16,ABSMENSUAL,""),ROW(ABSMENSUAL)-MIN(ROW(ABSMENSUAL))+1,""),ROW()-15)),"")</f>
        <v/>
      </c>
      <c r="L18" s="122"/>
      <c r="M18" s="95" t="str">
        <f t="array" ref="M18">IFERROR(INDEX(MUNICIPIOS,SMALL(IF(MIN(IF(RANGOS=$A$16,ABSMENSUAL,""))=IF(RANGOS=$A$16,ABSMENSUAL,""),ROW(ABSMENSUAL)-MIN(ROW(ABSMENSUAL))+1,""),ROW()-15)),"")</f>
        <v/>
      </c>
      <c r="N18" s="123"/>
      <c r="O18" s="95" t="str">
        <f t="array" ref="O18">IFERROR(INDEX(MUNICIPIOS,SMALL(IF(MAX(IF(RANGOS=$A$16,RELATMENSUAL,""))=IF(RANGOS=$A$16,RELATMENSUAL,""),ROW(RELATMENSUAL)-MIN(ROW(RELATMENSUAL))+1,""),ROW()-15)),"")</f>
        <v/>
      </c>
      <c r="P18" s="124"/>
      <c r="Q18" s="95" t="str">
        <f t="array" ref="Q18">IFERROR(INDEX(MUNICIPIOS,SMALL(IF(MIN(IF(RANGOS=$A$16,RELATMENSUAL,""))=IF(RANGOS=$A$16,RELATMENSUAL,""),ROW(RELATMENSUAL)-MIN(ROW(RELATMENSUAL))+1,""),ROW()-15)),"")</f>
        <v/>
      </c>
    </row>
    <row r="19" spans="1:17" ht="15.95" customHeight="1" thickTop="1">
      <c r="A19" s="16"/>
      <c r="B19" s="16"/>
      <c r="C19" s="16"/>
      <c r="D19" s="16"/>
      <c r="E19" s="16"/>
      <c r="F19" s="16"/>
      <c r="G19" s="16"/>
      <c r="H19" s="16"/>
      <c r="I19" s="16"/>
    </row>
    <row r="20" spans="1:17" s="12" customFormat="1" ht="24.95" customHeight="1" thickBot="1">
      <c r="A20" s="30" t="str">
        <f>"COMPARATIVA VALORES INTERANUALES ("&amp;J2&amp;" - "&amp;L2&amp;")"</f>
        <v>COMPARATIVA VALORES INTERANUALES (MARZO 2022 - MARZO 2021)</v>
      </c>
      <c r="B20" s="26"/>
      <c r="C20" s="26"/>
      <c r="D20" s="26"/>
      <c r="E20" s="26"/>
      <c r="F20" s="26"/>
      <c r="G20" s="26"/>
      <c r="H20" s="26"/>
      <c r="I20" s="26"/>
      <c r="J20" s="11"/>
    </row>
    <row r="21" spans="1:17" s="1" customFormat="1" ht="9.75" customHeight="1" thickTop="1">
      <c r="A21" s="15"/>
      <c r="B21" s="15"/>
      <c r="C21" s="15"/>
      <c r="D21" s="15"/>
      <c r="E21" s="15"/>
      <c r="F21" s="15"/>
      <c r="G21" s="15"/>
      <c r="H21" s="15"/>
      <c r="I21" s="15"/>
      <c r="J21" s="2"/>
    </row>
    <row r="22" spans="1:17" s="1" customFormat="1" ht="18.75">
      <c r="A22" s="463" t="s">
        <v>77</v>
      </c>
      <c r="B22" s="464"/>
      <c r="C22" s="464"/>
      <c r="D22" s="464"/>
      <c r="E22" s="467" t="str">
        <f>+IF(F23&gt;0,"SUBE",IF(F23&lt;0,"BAJA","NO VARIA"))</f>
        <v>BAJA</v>
      </c>
      <c r="F22" s="442" t="s">
        <v>69</v>
      </c>
      <c r="G22" s="443"/>
      <c r="H22" s="443" t="s">
        <v>70</v>
      </c>
      <c r="I22" s="444"/>
      <c r="J22" s="2"/>
    </row>
    <row r="23" spans="1:17" s="1" customFormat="1" ht="19.5" thickBot="1">
      <c r="A23" s="465"/>
      <c r="B23" s="466"/>
      <c r="C23" s="466"/>
      <c r="D23" s="466"/>
      <c r="E23" s="468"/>
      <c r="F23" s="445">
        <f>+'VAR INTERMENSUAL-INTERANUAL'!$I$50</f>
        <v>-29241</v>
      </c>
      <c r="G23" s="446"/>
      <c r="H23" s="447">
        <f>+'VAR INTERMENSUAL-INTERANUAL'!$J$50</f>
        <v>-0.15843456399475514</v>
      </c>
      <c r="I23" s="448"/>
      <c r="J23" s="2"/>
    </row>
    <row r="24" spans="1:17" s="1" customFormat="1" ht="9" customHeight="1" thickTop="1">
      <c r="A24" s="15"/>
      <c r="B24" s="15"/>
      <c r="C24" s="15"/>
      <c r="D24" s="15"/>
      <c r="E24" s="15"/>
      <c r="F24" s="15"/>
      <c r="G24" s="15"/>
      <c r="H24" s="15"/>
      <c r="I24" s="15"/>
      <c r="J24" s="2"/>
    </row>
    <row r="25" spans="1:17" s="12" customFormat="1" ht="27" customHeight="1">
      <c r="A25" s="435" t="s">
        <v>53</v>
      </c>
      <c r="B25" s="404" t="s">
        <v>61</v>
      </c>
      <c r="C25" s="404"/>
      <c r="D25" s="404"/>
      <c r="E25" s="404"/>
      <c r="F25" s="404" t="s">
        <v>62</v>
      </c>
      <c r="G25" s="404"/>
      <c r="H25" s="404"/>
      <c r="I25" s="410"/>
      <c r="J25" s="10"/>
    </row>
    <row r="26" spans="1:17" ht="19.5" customHeight="1">
      <c r="A26" s="435"/>
      <c r="B26" s="436" t="s">
        <v>82</v>
      </c>
      <c r="C26" s="438"/>
      <c r="D26" s="439" t="s">
        <v>83</v>
      </c>
      <c r="E26" s="440"/>
      <c r="F26" s="436" t="s">
        <v>82</v>
      </c>
      <c r="G26" s="438"/>
      <c r="H26" s="439" t="s">
        <v>83</v>
      </c>
      <c r="I26" s="441"/>
      <c r="J26" s="10"/>
    </row>
    <row r="27" spans="1:17" ht="15" customHeight="1">
      <c r="A27" s="399" t="s">
        <v>55</v>
      </c>
      <c r="B27" s="36">
        <f>+IF(J27&gt;0,J27,"")</f>
        <v>32</v>
      </c>
      <c r="C27" s="44" t="str">
        <f>IF($J$27&gt;0,K27,"NO SUBE EN ESTE RANGO")</f>
        <v>ESPERA</v>
      </c>
      <c r="D27" s="36">
        <f>+IF(L27&lt;0,L27,"")</f>
        <v>-95</v>
      </c>
      <c r="E27" s="31" t="str">
        <f>IF($L$27&lt;0,M27,"NO BAJA EN ESTE RANGO")</f>
        <v>SAN JOSÉ DEL VALLE</v>
      </c>
      <c r="F27" s="130">
        <f>+IF(N27&gt;0,N27,"")</f>
        <v>0.19718309859154928</v>
      </c>
      <c r="G27" s="44" t="str">
        <f>IF($N$27&gt;0,O27,"NO SUBE EN ESTE RANGO")</f>
        <v>TORRE ALHÁQUIME</v>
      </c>
      <c r="H27" s="137">
        <f>+IF(P27&lt;0,P27,"")</f>
        <v>-0.27430555555555558</v>
      </c>
      <c r="I27" s="37" t="str">
        <f>IF($P$27&lt;0,Q27,"NO BAJA EN ESTE RANGO")</f>
        <v>GRAZALEMA</v>
      </c>
      <c r="J27" s="128">
        <f t="array" ref="J27">+MAX(IF(RANGOS=$A27,ABSANUAL))</f>
        <v>32</v>
      </c>
      <c r="K27" s="118" t="str">
        <f t="array" ref="K27">IFERROR(INDEX(MUNICIPIOS,SMALL(IF(MAX(IF(RANGOS=$A$27,ABSANUAL,""))=IF(RANGOS=$A$27,ABSANUAL,""),ROW(ABSANUAL)-MIN(ROW(ABSANUAL))+1,""),ROW()-26)),"")</f>
        <v>ESPERA</v>
      </c>
      <c r="L27" s="118">
        <f t="array" ref="L27">+MIN(IF(RANGOS=$A27,ABSANUAL))</f>
        <v>-95</v>
      </c>
      <c r="M27" s="118" t="str">
        <f t="array" ref="M27">IFERROR(INDEX(MUNICIPIOS,SMALL(IF(MIN(IF(RANGOS=$A$27,ABSANUAL,""))=IF(RANGOS=$A$27,ABSANUAL,""),ROW(ABSANUAL)-MIN(ROW(ABSANUAL))+1,""),ROW()-26)),"")</f>
        <v>SAN JOSÉ DEL VALLE</v>
      </c>
      <c r="N27" s="129">
        <f t="array" ref="N27">+MAX(IF(RANGOS=$A27,RELATANUAL))</f>
        <v>0.19718309859154928</v>
      </c>
      <c r="O27" s="118" t="str">
        <f t="array" ref="O27">IFERROR(INDEX(MUNICIPIOS,SMALL(IF(MAX(IF(RANGOS=$A$27,RELATANUAL,""))=IF(RANGOS=$A$27,RELATANUAL,""),ROW(RELATANUAL)-MIN(ROW(RELATANUAL))+1,""),ROW()-26)),"")</f>
        <v>TORRE ALHÁQUIME</v>
      </c>
      <c r="P27" s="129">
        <f t="array" ref="P27">+MIN(IF(RANGOS=$A27,RELATANUAL))</f>
        <v>-0.27430555555555558</v>
      </c>
      <c r="Q27" s="118" t="str">
        <f t="array" ref="Q27">IFERROR(INDEX(MUNICIPIOS,SMALL(IF(MIN(IF(RANGOS=$A$27,RELATANUAL,""))=IF(RANGOS=$A$27,RELATANUAL,""),ROW(RELATANUAL)-MIN(ROW(RELATANUAL))+1,""),ROW()-26)),"")</f>
        <v>GRAZALEMA</v>
      </c>
    </row>
    <row r="28" spans="1:17" ht="15" customHeight="1">
      <c r="A28" s="399"/>
      <c r="B28" s="49" t="str">
        <f t="shared" ref="B28:B35" si="0">+IF(J28&gt;0,J28,"")</f>
        <v/>
      </c>
      <c r="C28" s="29" t="str">
        <f>IF($J$27&gt;0,K28,"")</f>
        <v/>
      </c>
      <c r="D28" s="49" t="str">
        <f t="shared" ref="D28:D35" si="1">+IF(L28&lt;0,L28,"")</f>
        <v/>
      </c>
      <c r="E28" s="33" t="str">
        <f>IF($L$27&lt;0,M28,"")</f>
        <v/>
      </c>
      <c r="F28" s="133" t="str">
        <f t="shared" ref="F28:F35" si="2">+IF(N28&gt;0,N28,"")</f>
        <v/>
      </c>
      <c r="G28" s="29" t="str">
        <f>IF($N$27&gt;0,O28,"")</f>
        <v/>
      </c>
      <c r="H28" s="138" t="str">
        <f t="shared" ref="H28:H35" si="3">+IF(P28&lt;0,P28,"")</f>
        <v/>
      </c>
      <c r="I28" s="27" t="str">
        <f>IF($P$27&lt;0,Q28,"")</f>
        <v/>
      </c>
      <c r="J28" s="128"/>
      <c r="K28" s="118" t="str">
        <f t="array" ref="K28">IFERROR(INDEX(MUNICIPIOS,SMALL(IF(MAX(IF(RANGOS=$A$27,ABSANUAL,""))=IF(RANGOS=$A$27,ABSANUAL,""),ROW(ABSANUAL)-MIN(ROW(ABSANUAL))+1,""),ROW()-26)),"")</f>
        <v/>
      </c>
      <c r="L28" s="118"/>
      <c r="M28" s="118" t="str">
        <f t="array" ref="M28">IFERROR(INDEX(MUNICIPIOS,SMALL(IF(MIN(IF(RANGOS=$A$27,ABSANUAL,""))=IF(RANGOS=$A$27,ABSANUAL,""),ROW(ABSANUAL)-MIN(ROW(ABSANUAL))+1,""),ROW()-26)),"")</f>
        <v/>
      </c>
      <c r="N28" s="118"/>
      <c r="O28" s="118" t="str">
        <f t="array" ref="O28">IFERROR(INDEX(MUNICIPIOS,SMALL(IF(MAX(IF(RANGOS=$A$27,RELATANUAL,""))=IF(RANGOS=$A$27,RELATANUAL,""),ROW(RELATANUAL)-MIN(ROW(RELATANUAL))+1,""),ROW()-26)),"")</f>
        <v/>
      </c>
      <c r="P28" s="118"/>
      <c r="Q28" s="118" t="str">
        <f t="array" ref="Q28">IFERROR(INDEX(MUNICIPIOS,SMALL(IF(MIN(IF(RANGOS=$A$27,RELATANUAL,""))=IF(RANGOS=$A$27,RELATANUAL,""),ROW(RELATANUAL)-MIN(ROW(RELATANUAL))+1,""),ROW()-26)),"")</f>
        <v/>
      </c>
    </row>
    <row r="29" spans="1:17" ht="15" customHeight="1">
      <c r="A29" s="399"/>
      <c r="B29" s="49" t="str">
        <f t="shared" si="0"/>
        <v/>
      </c>
      <c r="C29" s="29" t="str">
        <f>IF($J$27&gt;0,K29,"")</f>
        <v/>
      </c>
      <c r="D29" s="49" t="str">
        <f t="shared" si="1"/>
        <v/>
      </c>
      <c r="E29" s="33" t="str">
        <f>IF($L$27&lt;0,M29,"")</f>
        <v/>
      </c>
      <c r="F29" s="133" t="str">
        <f t="shared" si="2"/>
        <v/>
      </c>
      <c r="G29" s="29" t="str">
        <f>IF($N$27&gt;0,O29,"")</f>
        <v/>
      </c>
      <c r="H29" s="138" t="str">
        <f t="shared" si="3"/>
        <v/>
      </c>
      <c r="I29" s="27" t="str">
        <f>IF($P$27&lt;0,Q29,"")</f>
        <v/>
      </c>
      <c r="J29" s="128"/>
      <c r="K29" s="118" t="str">
        <f t="array" ref="K29">IFERROR(INDEX(MUNICIPIOS,SMALL(IF(MAX(IF(RANGOS=$A$27,ABSANUAL,""))=IF(RANGOS=$A$27,ABSANUAL,""),ROW(ABSANUAL)-MIN(ROW(ABSANUAL))+1,""),ROW()-26)),"")</f>
        <v/>
      </c>
      <c r="L29" s="118"/>
      <c r="M29" s="118" t="str">
        <f t="array" ref="M29">IFERROR(INDEX(MUNICIPIOS,SMALL(IF(MIN(IF(RANGOS=$A$27,ABSANUAL,""))=IF(RANGOS=$A$27,ABSANUAL,""),ROW(ABSANUAL)-MIN(ROW(ABSANUAL))+1,""),ROW()-26)),"")</f>
        <v/>
      </c>
      <c r="N29" s="118"/>
      <c r="O29" s="118" t="str">
        <f t="array" ref="O29">IFERROR(INDEX(MUNICIPIOS,SMALL(IF(MAX(IF(RANGOS=$A$27,RELATANUAL,""))=IF(RANGOS=$A$27,RELATANUAL,""),ROW(RELATANUAL)-MIN(ROW(RELATANUAL))+1,""),ROW()-26)),"")</f>
        <v/>
      </c>
      <c r="P29" s="118"/>
      <c r="Q29" s="118" t="str">
        <f t="array" ref="Q29">IFERROR(INDEX(MUNICIPIOS,SMALL(IF(MIN(IF(RANGOS=$A$27,RELATANUAL,""))=IF(RANGOS=$A$27,RELATANUAL,""),ROW(RELATANUAL)-MIN(ROW(RELATANUAL))+1,""),ROW()-26)),"")</f>
        <v/>
      </c>
    </row>
    <row r="30" spans="1:17" ht="15" customHeight="1">
      <c r="A30" s="397" t="s">
        <v>54</v>
      </c>
      <c r="B30" s="36" t="str">
        <f t="shared" si="0"/>
        <v/>
      </c>
      <c r="C30" s="44" t="str">
        <f>IF($J$30&gt;0,K30,"NO SUBE EN ESTE RANGO")</f>
        <v>NO SUBE EN ESTE RANGO</v>
      </c>
      <c r="D30" s="36">
        <f t="shared" si="1"/>
        <v>-729</v>
      </c>
      <c r="E30" s="31" t="str">
        <f>IF($L$30&lt;0,M30,"NO BAJA EN ESTE RANGO")</f>
        <v>UBRIQUE</v>
      </c>
      <c r="F30" s="130" t="str">
        <f t="shared" si="2"/>
        <v/>
      </c>
      <c r="G30" s="44" t="str">
        <f>IF($N$30&gt;0,O30,"NO SUBE EN ESTE RANGO")</f>
        <v>NO SUBE EN ESTE RANGO</v>
      </c>
      <c r="H30" s="137">
        <f t="shared" si="3"/>
        <v>-0.29171668667466988</v>
      </c>
      <c r="I30" s="37" t="str">
        <f>IF($P$30&lt;0,Q30,"NO BAJA EN ESTE RANGO")</f>
        <v>UBRIQUE</v>
      </c>
      <c r="J30" s="128">
        <f t="array" ref="J30">+MAX(IF(RANGOS=$A30,ABSANUAL))</f>
        <v>-22</v>
      </c>
      <c r="K30" s="118" t="str">
        <f t="array" ref="K30">IFERROR(INDEX(MUNICIPIOS,SMALL(IF(MAX(IF(RANGOS=$A$30,ABSANUAL,""))=IF(RANGOS=$A$30,ABSANUAL,""),ROW(ABSANUAL)-MIN(ROW(ABSANUAL))+1,""),ROW()-29)),"")</f>
        <v>PUERTO SERRANO</v>
      </c>
      <c r="L30" s="118">
        <f t="array" ref="L30">+MIN(IF(RANGOS=$A30,ABSANUAL))</f>
        <v>-729</v>
      </c>
      <c r="M30" s="118" t="str">
        <f t="array" ref="M30">IFERROR(INDEX(MUNICIPIOS,SMALL(IF(MIN(IF(RANGOS=$A$30,ABSANUAL,""))=IF(RANGOS=$A$30,ABSANUAL,""),ROW(ABSANUAL)-MIN(ROW(ABSANUAL))+1,""),ROW()-29)),"")</f>
        <v>UBRIQUE</v>
      </c>
      <c r="N30" s="129">
        <f t="array" ref="N30">+MAX(IF(RANGOS=$A30,RELATANUAL))</f>
        <v>-3.7925264919129953E-2</v>
      </c>
      <c r="O30" s="118" t="str">
        <f t="array" ref="O30">IFERROR(INDEX(MUNICIPIOS,SMALL(IF(MAX(IF(RANGOS=$A$30,RELATANUAL,""))=IF(RANGOS=$A$30,RELATANUAL,""),ROW(RELATANUAL)-MIN(ROW(RELATANUAL))+1,""),ROW()-29)),"")</f>
        <v>VILLAMARTIN</v>
      </c>
      <c r="P30" s="129">
        <f t="array" ref="P30">+MIN(IF(RANGOS=$A30,RELATANUAL))</f>
        <v>-0.29171668667466988</v>
      </c>
      <c r="Q30" s="118" t="str">
        <f t="array" ref="Q30">IFERROR(INDEX(MUNICIPIOS,SMALL(IF(MIN(IF(RANGOS=$A$30,RELATANUAL,""))=IF(RANGOS=$A$30,RELATANUAL,""),ROW(RELATANUAL)-MIN(ROW(RELATANUAL))+1,""),ROW()-29)),"")</f>
        <v>UBRIQUE</v>
      </c>
    </row>
    <row r="31" spans="1:17" ht="15" customHeight="1">
      <c r="A31" s="397"/>
      <c r="B31" s="49" t="str">
        <f t="shared" si="0"/>
        <v/>
      </c>
      <c r="C31" s="29" t="str">
        <f>IF($J$30&gt;0,K31,"")</f>
        <v/>
      </c>
      <c r="D31" s="49" t="str">
        <f t="shared" si="1"/>
        <v/>
      </c>
      <c r="E31" s="33" t="str">
        <f>IF($L$30&lt;0,M31,"")</f>
        <v/>
      </c>
      <c r="F31" s="133" t="str">
        <f t="shared" si="2"/>
        <v/>
      </c>
      <c r="G31" s="29" t="str">
        <f>IF($N$30&gt;0,O31,"")</f>
        <v/>
      </c>
      <c r="H31" s="138" t="str">
        <f t="shared" si="3"/>
        <v/>
      </c>
      <c r="I31" s="27" t="str">
        <f>IF($P$30&lt;0,Q31,"")</f>
        <v/>
      </c>
      <c r="J31" s="128"/>
      <c r="K31" s="118" t="str">
        <f t="array" ref="K31">IFERROR(INDEX(MUNICIPIOS,SMALL(IF(MAX(IF(RANGOS=$A$30,ABSANUAL,""))=IF(RANGOS=$A$30,ABSANUAL,""),ROW(ABSANUAL)-MIN(ROW(ABSANUAL))+1,""),ROW()-29)),"")</f>
        <v/>
      </c>
      <c r="L31" s="118"/>
      <c r="M31" s="118" t="str">
        <f t="array" ref="M31">IFERROR(INDEX(MUNICIPIOS,SMALL(IF(MIN(IF(RANGOS=$A$30,ABSANUAL,""))=IF(RANGOS=$A$30,ABSANUAL,""),ROW(ABSANUAL)-MIN(ROW(ABSANUAL))+1,""),ROW()-29)),"")</f>
        <v/>
      </c>
      <c r="N31" s="118"/>
      <c r="O31" s="118" t="str">
        <f t="array" ref="O31">IFERROR(INDEX(MUNICIPIOS,SMALL(IF(MAX(IF(RANGOS=$A$30,RELATANUAL,""))=IF(RANGOS=$A$30,RELATANUAL,""),ROW(RELATANUAL)-MIN(ROW(RELATANUAL))+1,""),ROW()-29)),"")</f>
        <v/>
      </c>
      <c r="P31" s="118"/>
      <c r="Q31" s="118" t="str">
        <f t="array" ref="Q31">IFERROR(INDEX(MUNICIPIOS,SMALL(IF(MIN(IF(RANGOS=$A$30,RELATANUAL,""))=IF(RANGOS=$A$30,RELATANUAL,""),ROW(RELATANUAL)-MIN(ROW(RELATANUAL))+1,""),ROW()-29)),"")</f>
        <v/>
      </c>
    </row>
    <row r="32" spans="1:17" ht="15" customHeight="1">
      <c r="A32" s="397"/>
      <c r="B32" s="50" t="str">
        <f t="shared" si="0"/>
        <v/>
      </c>
      <c r="C32" s="45" t="str">
        <f>IF($J$30&gt;0,K32,"")</f>
        <v/>
      </c>
      <c r="D32" s="50" t="str">
        <f t="shared" si="1"/>
        <v/>
      </c>
      <c r="E32" s="35" t="str">
        <f>IF($L$30&lt;0,M32,"")</f>
        <v/>
      </c>
      <c r="F32" s="136" t="str">
        <f t="shared" si="2"/>
        <v/>
      </c>
      <c r="G32" s="45" t="str">
        <f>IF($N$30&gt;0,O32,"")</f>
        <v/>
      </c>
      <c r="H32" s="139" t="str">
        <f t="shared" si="3"/>
        <v/>
      </c>
      <c r="I32" s="40" t="str">
        <f>IF($P$30&lt;0,Q32,"")</f>
        <v/>
      </c>
      <c r="J32" s="128"/>
      <c r="K32" s="118" t="str">
        <f t="array" ref="K32">IFERROR(INDEX(MUNICIPIOS,SMALL(IF(MAX(IF(RANGOS=$A$30,ABSANUAL,""))=IF(RANGOS=$A$30,ABSANUAL,""),ROW(ABSANUAL)-MIN(ROW(ABSANUAL))+1,""),ROW()-29)),"")</f>
        <v/>
      </c>
      <c r="L32" s="118"/>
      <c r="M32" s="118" t="str">
        <f t="array" ref="M32">IFERROR(INDEX(MUNICIPIOS,SMALL(IF(MIN(IF(RANGOS=$A$30,ABSANUAL,""))=IF(RANGOS=$A$30,ABSANUAL,""),ROW(ABSANUAL)-MIN(ROW(ABSANUAL))+1,""),ROW()-29)),"")</f>
        <v/>
      </c>
      <c r="N32" s="118"/>
      <c r="O32" s="118" t="str">
        <f t="array" ref="O32">IFERROR(INDEX(MUNICIPIOS,SMALL(IF(MAX(IF(RANGOS=$A$30,RELATANUAL,""))=IF(RANGOS=$A$30,RELATANUAL,""),ROW(RELATANUAL)-MIN(ROW(RELATANUAL))+1,""),ROW()-29)),"")</f>
        <v/>
      </c>
      <c r="P32" s="118"/>
      <c r="Q32" s="118" t="str">
        <f t="array" ref="Q32">IFERROR(INDEX(MUNICIPIOS,SMALL(IF(MIN(IF(RANGOS=$A$30,RELATANUAL,""))=IF(RANGOS=$A$30,RELATANUAL,""),ROW(RELATANUAL)-MIN(ROW(RELATANUAL))+1,""),ROW()-29)),"")</f>
        <v/>
      </c>
    </row>
    <row r="33" spans="1:17" ht="15" customHeight="1">
      <c r="A33" s="395" t="s">
        <v>56</v>
      </c>
      <c r="B33" s="49" t="str">
        <f t="shared" si="0"/>
        <v/>
      </c>
      <c r="C33" s="29" t="str">
        <f>IF($J$33&gt;0,K33,"NO SUBE EN ESTE RANGO")</f>
        <v>NO SUBE EN ESTE RANGO</v>
      </c>
      <c r="D33" s="49">
        <f t="shared" si="1"/>
        <v>-4608</v>
      </c>
      <c r="E33" s="33" t="str">
        <f>IF($L$33&lt;0,M33,"NO BAJA EN ESTE RANGO")</f>
        <v>JEREZ DE LA FRONTERA</v>
      </c>
      <c r="F33" s="133" t="str">
        <f t="shared" si="2"/>
        <v/>
      </c>
      <c r="G33" s="29" t="str">
        <f>IF($N$33&gt;0,O33,"NO SUBE EN ESTE RANGO")</f>
        <v>NO SUBE EN ESTE RANGO</v>
      </c>
      <c r="H33" s="138">
        <f t="shared" si="3"/>
        <v>-0.19982178658944086</v>
      </c>
      <c r="I33" s="27" t="str">
        <f>IF($P$33&lt;0,Q33,"NO BAJA EN ESTE RANGO")</f>
        <v>SAN ROQUE</v>
      </c>
      <c r="J33" s="128">
        <f t="array" ref="J33">+MAX(IF(RANGOS=$A33,ABSANUAL))</f>
        <v>-454</v>
      </c>
      <c r="K33" s="118" t="str">
        <f t="array" ref="K33">IFERROR(INDEX(MUNICIPIOS,SMALL(IF(MAX(IF(RANGOS=$A$33,ABSANUAL,""))=IF(RANGOS=$A$33,ABSANUAL,""),ROW(ABSANUAL)-MIN(ROW(ABSANUAL))+1,""),ROW()-32)),"")</f>
        <v>ARCOS DE LA FRONTERA</v>
      </c>
      <c r="L33" s="118">
        <f t="array" ref="L33">+MIN(IF(RANGOS=$A33,ABSANUAL))</f>
        <v>-4608</v>
      </c>
      <c r="M33" s="118" t="str">
        <f t="array" ref="M33">IFERROR(INDEX(MUNICIPIOS,SMALL(IF(MIN(IF(RANGOS=$A$33,ABSANUAL,""))=IF(RANGOS=$A$33,ABSANUAL,""),ROW(ABSANUAL)-MIN(ROW(ABSANUAL))+1,""),ROW()-32)),"")</f>
        <v>JEREZ DE LA FRONTERA</v>
      </c>
      <c r="N33" s="129">
        <f t="array" ref="N33">+MAX(IF(RANGOS=$A33,RELATANUAL))</f>
        <v>-8.6690853542104263E-2</v>
      </c>
      <c r="O33" s="118" t="str">
        <f t="array" ref="O33">IFERROR(INDEX(MUNICIPIOS,SMALL(IF(MAX(IF(RANGOS=$A$33,RELATANUAL,""))=IF(RANGOS=$A$33,RELATANUAL,""),ROW(RELATANUAL)-MIN(ROW(RELATANUAL))+1,""),ROW()-32)),"")</f>
        <v>ARCOS DE LA FRONTERA</v>
      </c>
      <c r="P33" s="129">
        <f t="array" ref="P33">+MIN(IF(RANGOS=$A33,RELATANUAL))</f>
        <v>-0.19982178658944086</v>
      </c>
      <c r="Q33" s="118" t="str">
        <f t="array" ref="Q33">IFERROR(INDEX(MUNICIPIOS,SMALL(IF(MIN(IF(RANGOS=$A$33,RELATANUAL,""))=IF(RANGOS=$A$33,RELATANUAL,""),ROW(RELATANUAL)-MIN(ROW(RELATANUAL))+1,""),ROW()-32)),"")</f>
        <v>SAN ROQUE</v>
      </c>
    </row>
    <row r="34" spans="1:17" ht="15" customHeight="1">
      <c r="A34" s="395"/>
      <c r="B34" s="49" t="str">
        <f t="shared" si="0"/>
        <v/>
      </c>
      <c r="C34" s="29" t="str">
        <f>IF($J$33&gt;0,K34,"")</f>
        <v/>
      </c>
      <c r="D34" s="49" t="str">
        <f t="shared" si="1"/>
        <v/>
      </c>
      <c r="E34" s="33" t="str">
        <f>IF($L$33&lt;0,M34,"")</f>
        <v/>
      </c>
      <c r="F34" s="133" t="str">
        <f t="shared" si="2"/>
        <v/>
      </c>
      <c r="G34" s="29" t="str">
        <f>IF($N$33&gt;0,O34,"")</f>
        <v/>
      </c>
      <c r="H34" s="138" t="str">
        <f t="shared" si="3"/>
        <v/>
      </c>
      <c r="I34" s="27" t="str">
        <f>IF($P$33&lt;0,Q34,"")</f>
        <v/>
      </c>
      <c r="J34" s="128"/>
      <c r="K34" s="118" t="str">
        <f t="array" ref="K34">IFERROR(INDEX(MUNICIPIOS,SMALL(IF(MAX(IF(RANGOS=$A$33,ABSANUAL,""))=IF(RANGOS=$A$33,ABSANUAL,""),ROW(ABSANUAL)-MIN(ROW(ABSANUAL))+1,""),ROW()-32)),"")</f>
        <v/>
      </c>
      <c r="L34" s="118"/>
      <c r="M34" s="118" t="str">
        <f t="array" ref="M34">IFERROR(INDEX(MUNICIPIOS,SMALL(IF(MIN(IF(RANGOS=$A$33,ABSANUAL,""))=IF(RANGOS=$A$33,ABSANUAL,""),ROW(ABSANUAL)-MIN(ROW(ABSANUAL))+1,""),ROW()-32)),"")</f>
        <v/>
      </c>
      <c r="N34" s="118"/>
      <c r="O34" s="118" t="str">
        <f t="array" ref="O34">IFERROR(INDEX(MUNICIPIOS,SMALL(IF(MAX(IF(RANGOS=$A$33,RELATANUAL,""))=IF(RANGOS=$A$33,RELATANUAL,""),ROW(RELATANUAL)-MIN(ROW(RELATANUAL))+1,""),ROW()-32)),"")</f>
        <v/>
      </c>
      <c r="P34" s="118"/>
      <c r="Q34" s="118" t="str">
        <f t="array" ref="Q34">IFERROR(INDEX(MUNICIPIOS,SMALL(IF(MIN(IF(RANGOS=$A$33,RELATANUAL,""))=IF(RANGOS=$A$33,RELATANUAL,""),ROW(RELATANUAL)-MIN(ROW(RELATANUAL))+1,""),ROW()-32)),"")</f>
        <v/>
      </c>
    </row>
    <row r="35" spans="1:17" ht="15" customHeight="1" thickBot="1">
      <c r="A35" s="396"/>
      <c r="B35" s="54" t="str">
        <f t="shared" si="0"/>
        <v/>
      </c>
      <c r="C35" s="41" t="str">
        <f>IF($J$33&gt;0,K35,"")</f>
        <v/>
      </c>
      <c r="D35" s="54" t="str">
        <f t="shared" si="1"/>
        <v/>
      </c>
      <c r="E35" s="43" t="str">
        <f>IF($L$33&lt;0,M35,"")</f>
        <v/>
      </c>
      <c r="F35" s="135" t="str">
        <f t="shared" si="2"/>
        <v/>
      </c>
      <c r="G35" s="41" t="str">
        <f>IF($N$33&gt;0,O35,"")</f>
        <v/>
      </c>
      <c r="H35" s="140" t="str">
        <f t="shared" si="3"/>
        <v/>
      </c>
      <c r="I35" s="28" t="str">
        <f>IF($P$33&lt;0,Q35,"")</f>
        <v/>
      </c>
      <c r="J35" s="117"/>
      <c r="K35" s="118" t="str">
        <f t="array" ref="K35">IFERROR(INDEX(MUNICIPIOS,SMALL(IF(MAX(IF(RANGOS=$A$33,ABSANUAL,""))=IF(RANGOS=$A$33,ABSANUAL,""),ROW(ABSANUAL)-MIN(ROW(ABSANUAL))+1,""),ROW()-32)),"")</f>
        <v/>
      </c>
      <c r="L35" s="118"/>
      <c r="M35" s="118" t="str">
        <f t="array" ref="M35">IFERROR(INDEX(MUNICIPIOS,SMALL(IF(MIN(IF(RANGOS=$A$33,ABSANUAL,""))=IF(RANGOS=$A$33,ABSANUAL,""),ROW(ABSANUAL)-MIN(ROW(ABSANUAL))+1,""),ROW()-32)),"")</f>
        <v/>
      </c>
      <c r="N35" s="118"/>
      <c r="O35" s="118" t="str">
        <f t="array" ref="O35">IFERROR(INDEX(MUNICIPIOS,SMALL(IF(MAX(IF(RANGOS=$A$33,RELATANUAL,""))=IF(RANGOS=$A$33,RELATANUAL,""),ROW(RELATANUAL)-MIN(ROW(RELATANUAL))+1,""),ROW()-32)),"")</f>
        <v/>
      </c>
      <c r="P35" s="118"/>
      <c r="Q35" s="118" t="str">
        <f t="array" ref="Q35">IFERROR(INDEX(MUNICIPIOS,SMALL(IF(MIN(IF(RANGOS=$A$33,RELATANUAL,""))=IF(RANGOS=$A$33,RELATANUAL,""),ROW(RELATANUAL)-MIN(ROW(RELATANUAL))+1,""),ROW()-32)),"")</f>
        <v/>
      </c>
    </row>
    <row r="36" spans="1:17" ht="18" customHeight="1" thickTop="1">
      <c r="A36" s="16"/>
      <c r="B36" s="16"/>
      <c r="C36" s="16"/>
      <c r="D36" s="16"/>
      <c r="E36" s="16"/>
      <c r="F36" s="16"/>
      <c r="G36" s="16"/>
      <c r="H36" s="16"/>
      <c r="I36" s="16"/>
    </row>
    <row r="37" spans="1:17" ht="15.75" hidden="1" customHeight="1">
      <c r="A37" s="16"/>
      <c r="B37" s="16"/>
      <c r="C37" s="16"/>
      <c r="D37" s="16"/>
      <c r="E37" s="16"/>
      <c r="F37" s="16"/>
      <c r="G37" s="16"/>
      <c r="H37" s="16"/>
      <c r="I37" s="16"/>
    </row>
    <row r="38" spans="1:17" s="12" customFormat="1" ht="24.95" customHeight="1" thickBot="1">
      <c r="A38" s="30" t="str">
        <f>"COMPARATIVA INTERMENSUAL DE PARO REGISTRADO POR SECTORES ECONÓMICOS ("&amp;J2&amp;" - "&amp;K2&amp;")"</f>
        <v>COMPARATIVA INTERMENSUAL DE PARO REGISTRADO POR SECTORES ECONÓMICOS (MARZO 2022 - FEBRERO 2022)</v>
      </c>
      <c r="B38" s="26"/>
      <c r="C38" s="26"/>
      <c r="D38" s="26"/>
      <c r="E38" s="26"/>
      <c r="F38" s="26"/>
      <c r="G38" s="26"/>
      <c r="H38" s="26"/>
      <c r="I38" s="26"/>
      <c r="J38" s="11"/>
    </row>
    <row r="39" spans="1:17" s="1" customFormat="1" ht="9.75" customHeight="1" thickTop="1">
      <c r="A39" s="17"/>
      <c r="B39" s="17"/>
      <c r="C39" s="17"/>
      <c r="D39" s="17"/>
      <c r="E39" s="17"/>
      <c r="F39" s="17"/>
      <c r="G39" s="17"/>
      <c r="H39" s="17"/>
      <c r="I39" s="17"/>
      <c r="J39" s="7"/>
    </row>
    <row r="40" spans="1:17" s="1" customFormat="1" ht="18.75">
      <c r="A40" s="404" t="s">
        <v>77</v>
      </c>
      <c r="B40" s="404"/>
      <c r="C40" s="404"/>
      <c r="D40" s="404"/>
      <c r="E40" s="404"/>
      <c r="F40" s="404" t="s">
        <v>69</v>
      </c>
      <c r="G40" s="404"/>
      <c r="H40" s="404" t="s">
        <v>70</v>
      </c>
      <c r="I40" s="410"/>
      <c r="J40" s="7"/>
    </row>
    <row r="41" spans="1:17" s="1" customFormat="1" ht="18.75">
      <c r="A41" s="471" t="s">
        <v>78</v>
      </c>
      <c r="B41" s="443"/>
      <c r="C41" s="472"/>
      <c r="D41" s="453" t="str">
        <f>"AGRICULTURA - El paro "&amp;IF(F41&gt;0,"SUBE en: ",IF(F41&lt;0,"BAJA en: ","NO VARIA: "))</f>
        <v xml:space="preserve">AGRICULTURA - El paro SUBE en: </v>
      </c>
      <c r="E41" s="454"/>
      <c r="F41" s="483">
        <f>+'PARO POR SECTORES'!$M$50</f>
        <v>167</v>
      </c>
      <c r="G41" s="484"/>
      <c r="H41" s="485">
        <f>+'PARO POR SECTORES'!$R$50</f>
        <v>2.7889111556446227E-2</v>
      </c>
      <c r="I41" s="486"/>
      <c r="J41" s="7"/>
    </row>
    <row r="42" spans="1:17" s="1" customFormat="1" ht="18.75">
      <c r="A42" s="473"/>
      <c r="B42" s="474"/>
      <c r="C42" s="475"/>
      <c r="D42" s="469" t="str">
        <f>"INDUSTRIA - El paro "&amp;IF(F42&gt;0,"SUBE en: ",IF(F42&lt;0,"BAJA en: ","NO VARIA: "))</f>
        <v xml:space="preserve">INDUSTRIA - El paro SUBE en: </v>
      </c>
      <c r="E42" s="469"/>
      <c r="F42" s="491">
        <f>+'PARO POR SECTORES'!$N$50</f>
        <v>341</v>
      </c>
      <c r="G42" s="492"/>
      <c r="H42" s="487">
        <f>+'PARO POR SECTORES'!$S$50</f>
        <v>3.6686390532544376E-2</v>
      </c>
      <c r="I42" s="488"/>
      <c r="J42" s="7"/>
    </row>
    <row r="43" spans="1:17" s="1" customFormat="1" ht="18.75">
      <c r="A43" s="473"/>
      <c r="B43" s="474"/>
      <c r="C43" s="475"/>
      <c r="D43" s="469" t="str">
        <f>"CONSTRUCCIÓN - El paro "&amp;IF(F43&gt;0,"SUBE en: ",IF(F43&lt;0,"BAJA en: ","NO VARIA: "))</f>
        <v xml:space="preserve">CONSTRUCCIÓN - El paro SUBE en: </v>
      </c>
      <c r="E43" s="469"/>
      <c r="F43" s="491">
        <f>+'PARO POR SECTORES'!$O$50</f>
        <v>1204</v>
      </c>
      <c r="G43" s="492"/>
      <c r="H43" s="487">
        <f>+'PARO POR SECTORES'!$T$50</f>
        <v>8.0427521710086838E-2</v>
      </c>
      <c r="I43" s="488"/>
      <c r="J43" s="7"/>
    </row>
    <row r="44" spans="1:17" s="1" customFormat="1" ht="18.75">
      <c r="A44" s="473"/>
      <c r="B44" s="474"/>
      <c r="C44" s="475"/>
      <c r="D44" s="469" t="str">
        <f>"SERVICIOS - El paro "&amp;IF(F44&gt;0,"SUBE en: ",IF(F44&lt;0,"BAJA en: ","NO VARIA: "))</f>
        <v xml:space="preserve">SERVICIOS - El paro BAJA en: </v>
      </c>
      <c r="E44" s="469"/>
      <c r="F44" s="491">
        <f>+'PARO POR SECTORES'!$P$50</f>
        <v>-1014</v>
      </c>
      <c r="G44" s="492"/>
      <c r="H44" s="487">
        <f>+'PARO POR SECTORES'!$U$50</f>
        <v>-9.6423579083500539E-3</v>
      </c>
      <c r="I44" s="488"/>
      <c r="J44" s="7"/>
    </row>
    <row r="45" spans="1:17" s="1" customFormat="1" ht="19.5" thickBot="1">
      <c r="A45" s="476"/>
      <c r="B45" s="477"/>
      <c r="C45" s="478"/>
      <c r="D45" s="470" t="str">
        <f>"S.E.A. - El paro "&amp;IF(F45&gt;0,"SUBE en: ",IF(F45&lt;0,"BAJA en: ","NO VARIA: "))</f>
        <v xml:space="preserve">S.E.A. - El paro SUBE en: </v>
      </c>
      <c r="E45" s="470"/>
      <c r="F45" s="493">
        <f>+'PARO POR SECTORES'!$Q$50</f>
        <v>298</v>
      </c>
      <c r="G45" s="494"/>
      <c r="H45" s="489">
        <f>+'PARO POR SECTORES'!$V$50</f>
        <v>1.5758024430225795E-2</v>
      </c>
      <c r="I45" s="490"/>
      <c r="J45" s="7"/>
    </row>
    <row r="46" spans="1:17" s="1" customFormat="1" ht="9" customHeight="1" thickTop="1">
      <c r="A46" s="17"/>
      <c r="B46" s="17"/>
      <c r="C46" s="17"/>
      <c r="D46" s="17"/>
      <c r="E46" s="17"/>
      <c r="F46" s="17"/>
      <c r="G46" s="17"/>
      <c r="H46" s="17"/>
      <c r="I46" s="17"/>
      <c r="J46" s="7"/>
    </row>
    <row r="47" spans="1:17" s="12" customFormat="1" ht="40.5" customHeight="1">
      <c r="A47" s="73" t="s">
        <v>53</v>
      </c>
      <c r="B47" s="404" t="s">
        <v>61</v>
      </c>
      <c r="C47" s="404"/>
      <c r="D47" s="404"/>
      <c r="E47" s="404"/>
      <c r="F47" s="404" t="s">
        <v>62</v>
      </c>
      <c r="G47" s="404"/>
      <c r="H47" s="404"/>
      <c r="I47" s="410"/>
      <c r="J47" s="10"/>
    </row>
    <row r="48" spans="1:17" ht="16.5" customHeight="1">
      <c r="A48" s="460" t="s">
        <v>72</v>
      </c>
      <c r="B48" s="461"/>
      <c r="C48" s="461"/>
      <c r="D48" s="461"/>
      <c r="E48" s="461"/>
      <c r="F48" s="461"/>
      <c r="G48" s="461"/>
      <c r="H48" s="461"/>
      <c r="I48" s="462"/>
      <c r="J48" s="9"/>
    </row>
    <row r="49" spans="1:17" ht="16.5" customHeight="1">
      <c r="A49" s="75"/>
      <c r="B49" s="394" t="s">
        <v>82</v>
      </c>
      <c r="C49" s="392"/>
      <c r="D49" s="391" t="s">
        <v>83</v>
      </c>
      <c r="E49" s="392"/>
      <c r="F49" s="391" t="s">
        <v>82</v>
      </c>
      <c r="G49" s="392"/>
      <c r="H49" s="391" t="s">
        <v>83</v>
      </c>
      <c r="I49" s="393"/>
      <c r="J49" s="9"/>
    </row>
    <row r="50" spans="1:17" ht="15" customHeight="1">
      <c r="A50" s="398" t="s">
        <v>55</v>
      </c>
      <c r="B50" s="36">
        <f>+IF(J50&gt;0,J50,"")</f>
        <v>4</v>
      </c>
      <c r="C50" s="44" t="str">
        <f>IF($J$50&gt;0,K50,"NO SUBE EN ESTE RANGO")</f>
        <v>ALGAR</v>
      </c>
      <c r="D50" s="36">
        <f t="shared" ref="D50:D58" si="4">+IF(L50&lt;0,L50,"")</f>
        <v>-4</v>
      </c>
      <c r="E50" s="31" t="str">
        <f>IF($L$50&lt;0,M50,"NO BAJA EN ESTE RANGO")</f>
        <v>ZAHARA DE LA SIERRA</v>
      </c>
      <c r="F50" s="130">
        <f t="shared" ref="F50:F58" si="5">+IF(N50&gt;0,N50,"")</f>
        <v>3</v>
      </c>
      <c r="G50" s="44" t="str">
        <f>IF($N$50&gt;0,O50,"NO SUBE EN ESTE RANGO")</f>
        <v>VILLALUENGA DEL ROSARIO</v>
      </c>
      <c r="H50" s="137">
        <f t="shared" ref="H50:H58" si="6">+IF(P50&lt;0,P50,"")</f>
        <v>-0.22222222222222221</v>
      </c>
      <c r="I50" s="37" t="str">
        <f>IF($P$50&lt;0,Q50,"NO BAJA EN ESTE RANGO")</f>
        <v>ZAHARA DE LA SIERRA</v>
      </c>
      <c r="J50" s="108">
        <f t="array" ref="J50">+MAX(IF(RANGOS.SECT=$A50,AGRI.ABS))</f>
        <v>4</v>
      </c>
      <c r="K50" s="95" t="str">
        <f t="array" ref="K50">IFERROR(INDEX(MUNICIP.SECT,SMALL(IF(MAX(IF(RANGOS.SECT=$A$50,AGRI.ABS,""))=IF(RANGOS.SECT=$A$50,AGRI.ABS,""),ROW(AGRI.ABS)-MIN(ROW(AGRI.ABS))+1,""),ROW()-49)),"")</f>
        <v>ALGAR</v>
      </c>
      <c r="L50" s="94">
        <f t="array" ref="L50">+MIN(IF(RANGOS.SECT=$A50,AGRI.ABS))</f>
        <v>-4</v>
      </c>
      <c r="M50" s="96" t="str">
        <f t="array" ref="M50">IFERROR(INDEX(MUNICIP.SECT,SMALL(IF(MIN(IF(RANGOS.SECT=$A$50,AGRI.ABS,""))=IF(RANGOS.SECT=$A$50,AGRI.ABS,""),ROW(AGRI.ABS)-MIN(ROW(AGRI.ABS))+1,""),ROW()-49)),"")</f>
        <v>ZAHARA DE LA SIERRA</v>
      </c>
      <c r="N50" s="100">
        <f t="array" ref="N50">+MAX(IF(RANGOS.SECT=$A50,AGRI.REV))</f>
        <v>3</v>
      </c>
      <c r="O50" s="95" t="str">
        <f t="array" ref="O50">IFERROR(INDEX(MUNICIP.SECT,SMALL(IF(MAX(IF(RANGOS.SECT=$A$50,AGRI.REV,""))=IF(RANGOS.SECT=$A$50,AGRI.REV,""),ROW(AGRI.REV)-MIN(ROW(AGRI.REV))+1,""),ROW()-49)),"")</f>
        <v>VILLALUENGA DEL ROSARIO</v>
      </c>
      <c r="P50" s="101">
        <f t="array" ref="P50">+MIN(IF(RANGOS.SECT=$A50,AGRI.REV))</f>
        <v>-0.22222222222222221</v>
      </c>
      <c r="Q50" s="97" t="str">
        <f t="array" ref="Q50">IFERROR(INDEX(MUNICIP.SECT,SMALL(IF(MIN(IF(RANGOS.SECT=$A$50,AGRI.REV,""))=IF(RANGOS.SECT=$A$50,AGRI.REV,""),ROW(AGRI.REV)-MIN(ROW(AGRI.REV))+1,""),ROW()-49)),"")</f>
        <v>ZAHARA DE LA SIERRA</v>
      </c>
    </row>
    <row r="51" spans="1:17" ht="15" customHeight="1">
      <c r="A51" s="399"/>
      <c r="B51" s="49" t="str">
        <f t="shared" ref="B51:B58" si="7">+IF(J51&gt;0,J51,"")</f>
        <v/>
      </c>
      <c r="C51" s="29" t="str">
        <f>IF($J$50&gt;0,K51,"")</f>
        <v/>
      </c>
      <c r="D51" s="52" t="str">
        <f t="shared" si="4"/>
        <v/>
      </c>
      <c r="E51" s="33" t="str">
        <f>IF($L$50&lt;0,M51,"")</f>
        <v/>
      </c>
      <c r="F51" s="29" t="str">
        <f t="shared" si="5"/>
        <v/>
      </c>
      <c r="G51" s="29" t="str">
        <f>IF($N$50&gt;0,O51,"")</f>
        <v/>
      </c>
      <c r="H51" s="52" t="str">
        <f t="shared" si="6"/>
        <v/>
      </c>
      <c r="I51" s="27" t="str">
        <f>IF($P$50&lt;0,Q51,"")</f>
        <v/>
      </c>
      <c r="J51" s="108"/>
      <c r="K51" s="95" t="str">
        <f t="array" ref="K51">IFERROR(INDEX(MUNICIP.SECT,SMALL(IF(MAX(IF(RANGOS.SECT=$A$50,AGRI.ABS,""))=IF(RANGOS.SECT=$A$50,AGRI.ABS,""),ROW(AGRI.ABS)-MIN(ROW(AGRI.ABS))+1,""),ROW()-49)),"")</f>
        <v/>
      </c>
      <c r="L51" s="94"/>
      <c r="M51" s="96" t="str">
        <f t="array" ref="M51">IFERROR(INDEX(MUNICIP.SECT,SMALL(IF(MIN(IF(RANGOS.SECT=$A$50,AGRI.ABS,""))=IF(RANGOS.SECT=$A$50,AGRI.ABS,""),ROW(AGRI.ABS)-MIN(ROW(AGRI.ABS))+1,""),ROW()-49)),"")</f>
        <v/>
      </c>
      <c r="N51" s="95"/>
      <c r="O51" s="95" t="str">
        <f t="array" ref="O51">IFERROR(INDEX(MUNICIP.SECT,SMALL(IF(MAX(IF(RANGOS.SECT=$A$50,AGRI.REV,""))=IF(RANGOS.SECT=$A$50,AGRI.REV,""),ROW(AGRI.REV)-MIN(ROW(AGRI.REV))+1,""),ROW()-49)),"")</f>
        <v/>
      </c>
      <c r="P51" s="94"/>
      <c r="Q51" s="97" t="str">
        <f t="array" ref="Q51">IFERROR(INDEX(MUNICIP.SECT,SMALL(IF(MIN(IF(RANGOS.SECT=$A$50,AGRI.REV,""))=IF(RANGOS.SECT=$A$50,AGRI.REV,""),ROW(AGRI.REV)-MIN(ROW(AGRI.REV))+1,""),ROW()-49)),"")</f>
        <v/>
      </c>
    </row>
    <row r="52" spans="1:17" ht="15" customHeight="1">
      <c r="A52" s="399"/>
      <c r="B52" s="49" t="str">
        <f t="shared" si="7"/>
        <v/>
      </c>
      <c r="C52" s="29" t="str">
        <f>IF($J$50&gt;0,K52,"")</f>
        <v/>
      </c>
      <c r="D52" s="52" t="str">
        <f t="shared" si="4"/>
        <v/>
      </c>
      <c r="E52" s="33" t="str">
        <f>IF($L$50&lt;0,M52,"")</f>
        <v/>
      </c>
      <c r="F52" s="29" t="str">
        <f t="shared" si="5"/>
        <v/>
      </c>
      <c r="G52" s="29" t="str">
        <f>IF($N$50&gt;0,O52,"")</f>
        <v/>
      </c>
      <c r="H52" s="52" t="str">
        <f t="shared" si="6"/>
        <v/>
      </c>
      <c r="I52" s="27" t="str">
        <f>IF($P$50&lt;0,Q52,"")</f>
        <v/>
      </c>
      <c r="J52" s="110"/>
      <c r="K52" s="95" t="str">
        <f t="array" ref="K52">IFERROR(INDEX(MUNICIP.SECT,SMALL(IF(MAX(IF(RANGOS.SECT=$A$50,AGRI.ABS,""))=IF(RANGOS.SECT=$A$50,AGRI.ABS,""),ROW(AGRI.ABS)-MIN(ROW(AGRI.ABS))+1,""),ROW()-49)),"")</f>
        <v/>
      </c>
      <c r="L52" s="98"/>
      <c r="M52" s="96" t="str">
        <f t="array" ref="M52">IFERROR(INDEX(MUNICIP.SECT,SMALL(IF(MIN(IF(RANGOS.SECT=$A$50,AGRI.ABS,""))=IF(RANGOS.SECT=$A$50,AGRI.ABS,""),ROW(AGRI.ABS)-MIN(ROW(AGRI.ABS))+1,""),ROW()-49)),"")</f>
        <v/>
      </c>
      <c r="N52" s="99"/>
      <c r="O52" s="95" t="str">
        <f t="array" ref="O52">IFERROR(INDEX(MUNICIP.SECT,SMALL(IF(MAX(IF(RANGOS.SECT=$A$50,AGRI.REV,""))=IF(RANGOS.SECT=$A$50,AGRI.REV,""),ROW(AGRI.REV)-MIN(ROW(AGRI.REV))+1,""),ROW()-49)),"")</f>
        <v/>
      </c>
      <c r="P52" s="98"/>
      <c r="Q52" s="97" t="str">
        <f t="array" ref="Q52">IFERROR(INDEX(MUNICIP.SECT,SMALL(IF(MIN(IF(RANGOS.SECT=$A$50,AGRI.REV,""))=IF(RANGOS.SECT=$A$50,AGRI.REV,""),ROW(AGRI.REV)-MIN(ROW(AGRI.REV))+1,""),ROW()-49)),"")</f>
        <v/>
      </c>
    </row>
    <row r="53" spans="1:17" ht="15" customHeight="1">
      <c r="A53" s="397" t="s">
        <v>54</v>
      </c>
      <c r="B53" s="36">
        <f>+IF(J53&gt;0,J53,"")</f>
        <v>28</v>
      </c>
      <c r="C53" s="44" t="str">
        <f>IF($J$53&gt;0,K53,"NO SUBE EN ESTE RANGO")</f>
        <v>VILLAMARTIN</v>
      </c>
      <c r="D53" s="51">
        <f t="shared" si="4"/>
        <v>-24</v>
      </c>
      <c r="E53" s="31" t="str">
        <f>IF($L$53&lt;0,M53,"NO BAJA EN ESTE RANGO")</f>
        <v>PUERTO SERRANO</v>
      </c>
      <c r="F53" s="63">
        <f t="shared" si="5"/>
        <v>0.13592233009708737</v>
      </c>
      <c r="G53" s="44" t="str">
        <f>IF($N$53&gt;0,O53,"NO SUBE EN ESTE RANGO")</f>
        <v>VILLAMARTIN</v>
      </c>
      <c r="H53" s="60">
        <f t="shared" si="6"/>
        <v>-0.14906832298136646</v>
      </c>
      <c r="I53" s="37" t="str">
        <f>IF($P$53&lt;0,Q53,"NO BAJA EN ESTE RANGO")</f>
        <v>PUERTO SERRANO</v>
      </c>
      <c r="J53" s="108">
        <f t="array" ref="J53">+MAX(IF(RANGOS.SECT=$A53,AGRI.ABS))</f>
        <v>28</v>
      </c>
      <c r="K53" s="95" t="str">
        <f t="array" ref="K53">IFERROR(INDEX(MUNICIP.SECT,SMALL(IF(MAX(IF(RANGOS.SECT=$A$53,AGRI.ABS,""))=IF(RANGOS.SECT=$A$53,AGRI.ABS,""),ROW(AGRI.ABS)-MIN(ROW(AGRI.ABS))+1,""),ROW()-52)),"")</f>
        <v>VILLAMARTIN</v>
      </c>
      <c r="L53" s="94">
        <f t="array" ref="L53">+MIN(IF(RANGOS.SECT=$A53,AGRI.ABS))</f>
        <v>-24</v>
      </c>
      <c r="M53" s="96" t="str">
        <f t="array" ref="M53">IFERROR(INDEX(MUNICIP.SECT,SMALL(IF(MIN(IF(RANGOS.SECT=$A$53,AGRI.ABS,""))=IF(RANGOS.SECT=$A$53,AGRI.ABS,""),ROW(AGRI.ABS)-MIN(ROW(AGRI.ABS))+1,""),ROW()-52)),"")</f>
        <v>PUERTO SERRANO</v>
      </c>
      <c r="N53" s="100">
        <f t="array" ref="N53">+MAX(IF(RANGOS.SECT=$A53,AGRI.REV))</f>
        <v>0.13592233009708737</v>
      </c>
      <c r="O53" s="95" t="str">
        <f t="array" ref="O53">IFERROR(INDEX(MUNICIP.SECT,SMALL(IF(MAX(IF(RANGOS.SECT=$A$53,AGRI.REV,""))=IF(RANGOS.SECT=$A$53,AGRI.REV,""),ROW(AGRI.REV)-MIN(ROW(AGRI.REV))+1,""),ROW()-52)),"")</f>
        <v>VILLAMARTIN</v>
      </c>
      <c r="P53" s="101">
        <f t="array" ref="P53">+MIN(IF(RANGOS.SECT=$A53,AGRI.REV))</f>
        <v>-0.14906832298136646</v>
      </c>
      <c r="Q53" s="97" t="str">
        <f t="array" ref="Q53">IFERROR(INDEX(MUNICIP.SECT,SMALL(IF(MIN(IF(RANGOS.SECT=$A$53,AGRI.REV,""))=IF(RANGOS.SECT=$A$53,AGRI.REV,""),ROW(AGRI.REV)-MIN(ROW(AGRI.REV))+1,""),ROW()-52)),"")</f>
        <v>PUERTO SERRANO</v>
      </c>
    </row>
    <row r="54" spans="1:17" ht="15" customHeight="1">
      <c r="A54" s="397"/>
      <c r="B54" s="49" t="str">
        <f t="shared" si="7"/>
        <v/>
      </c>
      <c r="C54" s="29" t="str">
        <f>IF($J$53&gt;0,K54,"")</f>
        <v/>
      </c>
      <c r="D54" s="52" t="str">
        <f t="shared" si="4"/>
        <v/>
      </c>
      <c r="E54" s="33" t="str">
        <f>IF($L$53&lt;0,M54,"")</f>
        <v/>
      </c>
      <c r="F54" s="29" t="str">
        <f t="shared" si="5"/>
        <v/>
      </c>
      <c r="G54" s="29" t="str">
        <f>IF($N$53&gt;0,O54,"")</f>
        <v/>
      </c>
      <c r="H54" s="52" t="str">
        <f t="shared" si="6"/>
        <v/>
      </c>
      <c r="I54" s="27" t="str">
        <f>IF($P$53&lt;0,Q54,"")</f>
        <v/>
      </c>
      <c r="J54" s="108"/>
      <c r="K54" s="95" t="str">
        <f t="array" ref="K54">IFERROR(INDEX(MUNICIP.SECT,SMALL(IF(MAX(IF(RANGOS.SECT=$A$53,AGRI.ABS,""))=IF(RANGOS.SECT=$A$53,AGRI.ABS,""),ROW(AGRI.ABS)-MIN(ROW(AGRI.ABS))+1,""),ROW()-52)),"")</f>
        <v/>
      </c>
      <c r="L54" s="94"/>
      <c r="M54" s="96" t="str">
        <f t="array" ref="M54">IFERROR(INDEX(MUNICIP.SECT,SMALL(IF(MIN(IF(RANGOS.SECT=$A$53,AGRI.ABS,""))=IF(RANGOS.SECT=$A$53,AGRI.ABS,""),ROW(AGRI.ABS)-MIN(ROW(AGRI.ABS))+1,""),ROW()-52)),"")</f>
        <v/>
      </c>
      <c r="N54" s="95"/>
      <c r="O54" s="95" t="str">
        <f t="array" ref="O54">IFERROR(INDEX(MUNICIP.SECT,SMALL(IF(MAX(IF(RANGOS.SECT=$A$53,AGRI.REV,""))=IF(RANGOS.SECT=$A$53,AGRI.REV,""),ROW(AGRI.REV)-MIN(ROW(AGRI.REV))+1,""),ROW()-52)),"")</f>
        <v/>
      </c>
      <c r="P54" s="94"/>
      <c r="Q54" s="97" t="str">
        <f t="array" ref="Q54">IFERROR(INDEX(MUNICIP.SECT,SMALL(IF(MIN(IF(RANGOS.SECT=$A$53,AGRI.REV,""))=IF(RANGOS.SECT=$A$53,AGRI.REV,""),ROW(AGRI.REV)-MIN(ROW(AGRI.REV))+1,""),ROW()-52)),"")</f>
        <v/>
      </c>
    </row>
    <row r="55" spans="1:17" ht="15" customHeight="1">
      <c r="A55" s="397"/>
      <c r="B55" s="50" t="str">
        <f t="shared" si="7"/>
        <v/>
      </c>
      <c r="C55" s="45" t="str">
        <f>IF($J$53&gt;0,K55,"")</f>
        <v/>
      </c>
      <c r="D55" s="61" t="str">
        <f t="shared" si="4"/>
        <v/>
      </c>
      <c r="E55" s="35" t="str">
        <f>IF($L$53&lt;0,M55,"")</f>
        <v/>
      </c>
      <c r="F55" s="45" t="str">
        <f t="shared" si="5"/>
        <v/>
      </c>
      <c r="G55" s="45" t="str">
        <f>IF($N$53&gt;0,O55,"")</f>
        <v/>
      </c>
      <c r="H55" s="61" t="str">
        <f t="shared" si="6"/>
        <v/>
      </c>
      <c r="I55" s="40" t="str">
        <f>IF($P$53&lt;0,Q55,"")</f>
        <v/>
      </c>
      <c r="J55" s="108"/>
      <c r="K55" s="95" t="str">
        <f t="array" ref="K55">IFERROR(INDEX(MUNICIP.SECT,SMALL(IF(MAX(IF(RANGOS.SECT=$A$53,AGRI.ABS,""))=IF(RANGOS.SECT=$A$53,AGRI.ABS,""),ROW(AGRI.ABS)-MIN(ROW(AGRI.ABS))+1,""),ROW()-52)),"")</f>
        <v/>
      </c>
      <c r="L55" s="94"/>
      <c r="M55" s="96" t="str">
        <f t="array" ref="M55">IFERROR(INDEX(MUNICIP.SECT,SMALL(IF(MIN(IF(RANGOS.SECT=$A$53,AGRI.ABS,""))=IF(RANGOS.SECT=$A$53,AGRI.ABS,""),ROW(AGRI.ABS)-MIN(ROW(AGRI.ABS))+1,""),ROW()-52)),"")</f>
        <v/>
      </c>
      <c r="N55" s="95"/>
      <c r="O55" s="95" t="str">
        <f t="array" ref="O55">IFERROR(INDEX(MUNICIP.SECT,SMALL(IF(MAX(IF(RANGOS.SECT=$A$53,AGRI.REV,""))=IF(RANGOS.SECT=$A$53,AGRI.REV,""),ROW(AGRI.REV)-MIN(ROW(AGRI.REV))+1,""),ROW()-52)),"")</f>
        <v/>
      </c>
      <c r="P55" s="94"/>
      <c r="Q55" s="97" t="str">
        <f t="array" ref="Q55">IFERROR(INDEX(MUNICIP.SECT,SMALL(IF(MIN(IF(RANGOS.SECT=$A$53,AGRI.REV,""))=IF(RANGOS.SECT=$A$53,AGRI.REV,""),ROW(AGRI.REV)-MIN(ROW(AGRI.REV))+1,""),ROW()-52)),"")</f>
        <v/>
      </c>
    </row>
    <row r="56" spans="1:17" ht="15" customHeight="1">
      <c r="A56" s="395" t="s">
        <v>56</v>
      </c>
      <c r="B56" s="328">
        <f>+IF(J56&gt;0,J56,"")</f>
        <v>79</v>
      </c>
      <c r="C56" s="29" t="str">
        <f>IF($J$56&gt;0,K56,"NO SUBE EN ESTE RANGO")</f>
        <v>SANLÚCAR DE BARRAMEDA</v>
      </c>
      <c r="D56" s="52">
        <f t="shared" si="4"/>
        <v>-5</v>
      </c>
      <c r="E56" s="33" t="str">
        <f>IF($L$56&lt;0,M56,"NO BAJA EN ESTE RANGO")</f>
        <v xml:space="preserve">CADIZ </v>
      </c>
      <c r="F56" s="55">
        <f t="shared" si="5"/>
        <v>0.11940298507462686</v>
      </c>
      <c r="G56" s="29" t="str">
        <f>IF($N$56&gt;0,O56,"NO SUBE EN ESTE RANGO")</f>
        <v>PUERTO REAL</v>
      </c>
      <c r="H56" s="62">
        <f t="shared" si="6"/>
        <v>-9.2592592592592587E-2</v>
      </c>
      <c r="I56" s="27" t="str">
        <f>IF($P$56&lt;0,Q56,"NO BAJA EN ESTE RANGO")</f>
        <v>ROTA</v>
      </c>
      <c r="J56" s="116">
        <f t="array" ref="J56">+MAX(IF(RANGOS.SECT=$A56,AGRI.ABS))</f>
        <v>79</v>
      </c>
      <c r="K56" s="89" t="str">
        <f t="array" ref="K56">IFERROR(INDEX(MUNICIP.SECT,SMALL(IF(MAX(IF(RANGOS.SECT=$A$56,AGRI.ABS,""))=IF(RANGOS.SECT=$A$56,AGRI.ABS,""),ROW(AGRI.ABS)-MIN(ROW(AGRI.ABS))+1,""),ROW()-55)),"")</f>
        <v>SANLÚCAR DE BARRAMEDA</v>
      </c>
      <c r="L56" s="88">
        <f t="array" ref="L56">+MIN(IF(RANGOS.SECT=$A56,AGRI.ABS))</f>
        <v>-5</v>
      </c>
      <c r="M56" s="90" t="str">
        <f t="array" ref="M56">IFERROR(INDEX(MUNICIP.SECT,SMALL(IF(MIN(IF(RANGOS.SECT=$A$56,AGRI.ABS,""))=IF(RANGOS.SECT=$A$56,AGRI.ABS,""),ROW(AGRI.ABS)-MIN(ROW(AGRI.ABS))+1,""),ROW()-55)),"")</f>
        <v xml:space="preserve">CADIZ </v>
      </c>
      <c r="N56" s="91">
        <f t="array" ref="N56">+MAX(IF(RANGOS.SECT=$A56,AGRI.REV))</f>
        <v>0.11940298507462686</v>
      </c>
      <c r="O56" s="89" t="str">
        <f t="array" ref="O56">IFERROR(INDEX(MUNICIP.SECT,SMALL(IF(MAX(IF(RANGOS.SECT=$A$56,AGRI.REV,""))=IF(RANGOS.SECT=$A$56,AGRI.REV,""),ROW(AGRI.REV)-MIN(ROW(AGRI.REV))+1,""),ROW()-55)),"")</f>
        <v>PUERTO REAL</v>
      </c>
      <c r="P56" s="92">
        <f t="array" ref="P56">+MIN(IF(RANGOS.SECT=$A56,AGRI.REV))</f>
        <v>-9.2592592592592587E-2</v>
      </c>
      <c r="Q56" s="93" t="str">
        <f t="array" ref="Q56">IFERROR(INDEX(MUNICIP.SECT,SMALL(IF(MIN(IF(RANGOS.SECT=$A$56,AGRI.REV,""))=IF(RANGOS.SECT=$A$56,AGRI.REV,""),ROW(AGRI.REV)-MIN(ROW(AGRI.REV))+1,""),ROW()-55)),"")</f>
        <v>ROTA</v>
      </c>
    </row>
    <row r="57" spans="1:17" ht="15" customHeight="1">
      <c r="A57" s="395"/>
      <c r="B57" s="49" t="str">
        <f t="shared" si="7"/>
        <v/>
      </c>
      <c r="C57" s="29" t="str">
        <f>IF($J$56&gt;0,K57,"")</f>
        <v/>
      </c>
      <c r="D57" s="52" t="str">
        <f t="shared" si="4"/>
        <v/>
      </c>
      <c r="E57" s="33" t="str">
        <f>IF($L$56&lt;0,M57,"")</f>
        <v>ROTA</v>
      </c>
      <c r="F57" s="29" t="str">
        <f t="shared" si="5"/>
        <v/>
      </c>
      <c r="G57" s="29" t="str">
        <f>IF($N$56&gt;0,O57,"")</f>
        <v/>
      </c>
      <c r="H57" s="52" t="str">
        <f t="shared" si="6"/>
        <v/>
      </c>
      <c r="I57" s="27" t="str">
        <f>IF($P$56&lt;0,Q57,"")</f>
        <v/>
      </c>
      <c r="J57" s="108"/>
      <c r="K57" s="89" t="str">
        <f t="array" ref="K57">IFERROR(INDEX(MUNICIP.SECT,SMALL(IF(MAX(IF(RANGOS.SECT=$A$56,AGRI.ABS,""))=IF(RANGOS.SECT=$A$56,AGRI.ABS,""),ROW(AGRI.ABS)-MIN(ROW(AGRI.ABS))+1,""),ROW()-55)),"")</f>
        <v/>
      </c>
      <c r="L57" s="94"/>
      <c r="M57" s="90" t="str">
        <f t="array" ref="M57">IFERROR(INDEX(MUNICIP.SECT,SMALL(IF(MIN(IF(RANGOS.SECT=$A$56,AGRI.ABS,""))=IF(RANGOS.SECT=$A$56,AGRI.ABS,""),ROW(AGRI.ABS)-MIN(ROW(AGRI.ABS))+1,""),ROW()-55)),"")</f>
        <v>ROTA</v>
      </c>
      <c r="N57" s="95"/>
      <c r="O57" s="89" t="str">
        <f t="array" ref="O57">IFERROR(INDEX(MUNICIP.SECT,SMALL(IF(MAX(IF(RANGOS.SECT=$A$56,AGRI.REV,""))=IF(RANGOS.SECT=$A$56,AGRI.REV,""),ROW(AGRI.REV)-MIN(ROW(AGRI.REV))+1,""),ROW()-55)),"")</f>
        <v/>
      </c>
      <c r="P57" s="94"/>
      <c r="Q57" s="93" t="str">
        <f t="array" ref="Q57">IFERROR(INDEX(MUNICIP.SECT,SMALL(IF(MIN(IF(RANGOS.SECT=$A$56,AGRI.REV,""))=IF(RANGOS.SECT=$A$56,AGRI.REV,""),ROW(AGRI.REV)-MIN(ROW(AGRI.REV))+1,""),ROW()-55)),"")</f>
        <v/>
      </c>
    </row>
    <row r="58" spans="1:17" ht="15" customHeight="1">
      <c r="A58" s="395"/>
      <c r="B58" s="50" t="str">
        <f t="shared" si="7"/>
        <v/>
      </c>
      <c r="C58" s="45" t="str">
        <f>IF($J$56&gt;0,K58,"")</f>
        <v/>
      </c>
      <c r="D58" s="61" t="str">
        <f t="shared" si="4"/>
        <v/>
      </c>
      <c r="E58" s="35" t="str">
        <f>IF($L$56&lt;0,M58,"")</f>
        <v/>
      </c>
      <c r="F58" s="45" t="str">
        <f t="shared" si="5"/>
        <v/>
      </c>
      <c r="G58" s="45" t="str">
        <f>IF($N$56&gt;0,O58,"")</f>
        <v/>
      </c>
      <c r="H58" s="61" t="str">
        <f t="shared" si="6"/>
        <v/>
      </c>
      <c r="I58" s="40" t="str">
        <f>IF($P$56&lt;0,Q58,"")</f>
        <v/>
      </c>
      <c r="J58" s="110"/>
      <c r="K58" s="89" t="str">
        <f t="array" ref="K58">IFERROR(INDEX(MUNICIP.SECT,SMALL(IF(MAX(IF(RANGOS.SECT=$A$56,AGRI.ABS,""))=IF(RANGOS.SECT=$A$56,AGRI.ABS,""),ROW(AGRI.ABS)-MIN(ROW(AGRI.ABS))+1,""),ROW()-55)),"")</f>
        <v/>
      </c>
      <c r="L58" s="98"/>
      <c r="M58" s="90" t="str">
        <f t="array" ref="M58">IFERROR(INDEX(MUNICIP.SECT,SMALL(IF(MIN(IF(RANGOS.SECT=$A$56,AGRI.ABS,""))=IF(RANGOS.SECT=$A$56,AGRI.ABS,""),ROW(AGRI.ABS)-MIN(ROW(AGRI.ABS))+1,""),ROW()-55)),"")</f>
        <v/>
      </c>
      <c r="N58" s="99"/>
      <c r="O58" s="89" t="str">
        <f t="array" ref="O58">IFERROR(INDEX(MUNICIP.SECT,SMALL(IF(MAX(IF(RANGOS.SECT=$A$56,AGRI.REV,""))=IF(RANGOS.SECT=$A$56,AGRI.REV,""),ROW(AGRI.REV)-MIN(ROW(AGRI.REV))+1,""),ROW()-55)),"")</f>
        <v/>
      </c>
      <c r="P58" s="98"/>
      <c r="Q58" s="93" t="str">
        <f t="array" ref="Q58">IFERROR(INDEX(MUNICIP.SECT,SMALL(IF(MIN(IF(RANGOS.SECT=$A$56,AGRI.REV,""))=IF(RANGOS.SECT=$A$56,AGRI.REV,""),ROW(AGRI.REV)-MIN(ROW(AGRI.REV))+1,""),ROW()-55)),"")</f>
        <v/>
      </c>
    </row>
    <row r="59" spans="1:17" ht="16.5">
      <c r="A59" s="460" t="s">
        <v>73</v>
      </c>
      <c r="B59" s="461"/>
      <c r="C59" s="461"/>
      <c r="D59" s="461"/>
      <c r="E59" s="461"/>
      <c r="F59" s="461"/>
      <c r="G59" s="461"/>
      <c r="H59" s="461"/>
      <c r="I59" s="462"/>
      <c r="J59" s="9"/>
    </row>
    <row r="60" spans="1:17" ht="16.5">
      <c r="A60" s="75"/>
      <c r="B60" s="481" t="s">
        <v>82</v>
      </c>
      <c r="C60" s="482"/>
      <c r="D60" s="391" t="s">
        <v>83</v>
      </c>
      <c r="E60" s="392"/>
      <c r="F60" s="391" t="s">
        <v>82</v>
      </c>
      <c r="G60" s="392"/>
      <c r="H60" s="391" t="s">
        <v>83</v>
      </c>
      <c r="I60" s="393"/>
      <c r="J60" s="9"/>
    </row>
    <row r="61" spans="1:17" ht="15" customHeight="1">
      <c r="A61" s="398" t="s">
        <v>55</v>
      </c>
      <c r="B61" s="36">
        <f>+IF(J61&gt;0,J61,"")</f>
        <v>3</v>
      </c>
      <c r="C61" s="44" t="str">
        <f>IF($J$61&gt;0,K61,"NO SUBE EN ESTE RANGO")</f>
        <v>ZAHARA DE LA SIERRA</v>
      </c>
      <c r="D61" s="36">
        <f t="shared" ref="D61:D69" si="8">+IF(L61&lt;0,L61,"")</f>
        <v>-4</v>
      </c>
      <c r="E61" s="31" t="str">
        <f>IF($L$61&lt;0,M61,"NO BAJA EN ESTE RANGO")</f>
        <v>ESPERA</v>
      </c>
      <c r="F61" s="130">
        <f t="shared" ref="F61:F69" si="9">+IF(N61&gt;0,N61,"")</f>
        <v>1</v>
      </c>
      <c r="G61" s="44" t="str">
        <f>IF($N$61&gt;0,O61,"NO SUBE EN ESTE RANGO")</f>
        <v>SETENIL DE LAS BODEGAS</v>
      </c>
      <c r="H61" s="137">
        <f t="shared" ref="H61:H69" si="10">+IF(P61&lt;0,P61,"")</f>
        <v>-0.4</v>
      </c>
      <c r="I61" s="37" t="str">
        <f>IF($P$61&lt;0,Q61,"NO BAJA EN ESTE RANGO")</f>
        <v>VILLALUENGA DEL ROSARIO</v>
      </c>
      <c r="J61" s="95">
        <f t="array" ref="J61">+MAX(IF(RANGOS.SECT=$A61,INDUS.ABS))</f>
        <v>3</v>
      </c>
      <c r="K61" s="95" t="str">
        <f t="array" ref="K61">IFERROR(INDEX(MUNICIP.SECT,SMALL(IF(MAX(IF(RANGOS.SECT=$A$61,INDUS.ABS,""))=IF(RANGOS.SECT=$A$61,INDUS.ABS,""),ROW(INDUS.ABS)-MIN(ROW(INDUS.ABS))+1,""),ROW()-60)),"")</f>
        <v>ZAHARA DE LA SIERRA</v>
      </c>
      <c r="L61" s="94">
        <f t="array" ref="L61">+MIN(IF(RANGOS.SECT=$A61,INDUS.ABS))</f>
        <v>-4</v>
      </c>
      <c r="M61" s="96" t="str">
        <f t="array" ref="M61">IFERROR(INDEX(MUNICIP.SECT,SMALL(IF(MIN(IF(RANGOS.SECT=$A$61,INDUS.ABS,""))=IF(RANGOS.SECT=$A$61,INDUS.ABS,""),ROW(INDUS.ABS)-MIN(ROW(INDUS.ABS))+1,""),ROW()-60)),"")</f>
        <v>ESPERA</v>
      </c>
      <c r="N61" s="100">
        <f t="array" ref="N61">+MAX(IF(RANGOS.SECT=$A61,INDUS.REV))</f>
        <v>1</v>
      </c>
      <c r="O61" s="95" t="str">
        <f t="array" ref="O61">IFERROR(INDEX(MUNICIP.SECT,SMALL(IF(MAX(IF(RANGOS.SECT=$A$61,INDUS.REV,""))=IF(RANGOS.SECT=$A$61,INDUS.REV,""),ROW(INDUS.REV)-MIN(ROW(INDUS.REV))+1,""),ROW()-60)),"")</f>
        <v>SETENIL DE LAS BODEGAS</v>
      </c>
      <c r="P61" s="101">
        <f t="array" ref="P61">+MIN(IF(RANGOS.SECT=$A61,INDUS.REV))</f>
        <v>-0.4</v>
      </c>
      <c r="Q61" s="97" t="str">
        <f t="array" ref="Q61">IFERROR(INDEX(MUNICIP.SECT,SMALL(IF(MIN(IF(RANGOS.SECT=$A$61,INDUS.REV,""))=IF(RANGOS.SECT=$A$61,INDUS.REV,""),ROW(INDUS.REV)-MIN(ROW(INDUS.REV))+1,""),ROW()-60)),"")</f>
        <v>VILLALUENGA DEL ROSARIO</v>
      </c>
    </row>
    <row r="62" spans="1:17" ht="15" customHeight="1">
      <c r="A62" s="399"/>
      <c r="B62" s="49" t="str">
        <f t="shared" ref="B62:B69" si="11">+IF(J62&gt;0,J62,"")</f>
        <v/>
      </c>
      <c r="C62" s="29" t="str">
        <f>IF($J$61&gt;0,K62,"")</f>
        <v/>
      </c>
      <c r="D62" s="52" t="str">
        <f t="shared" si="8"/>
        <v/>
      </c>
      <c r="E62" s="33" t="str">
        <f>IF($L$61&lt;0,M62,"")</f>
        <v/>
      </c>
      <c r="F62" s="29" t="str">
        <f t="shared" si="9"/>
        <v/>
      </c>
      <c r="G62" s="29" t="str">
        <f>IF($N$61&gt;0,O62,"")</f>
        <v/>
      </c>
      <c r="H62" s="52" t="str">
        <f t="shared" si="10"/>
        <v/>
      </c>
      <c r="I62" s="27" t="str">
        <f>IF($P$61&lt;0,Q62,"")</f>
        <v/>
      </c>
      <c r="J62" s="95"/>
      <c r="K62" s="95" t="str">
        <f t="array" ref="K62">IFERROR(INDEX(MUNICIP.SECT,SMALL(IF(MAX(IF(RANGOS.SECT=$A$61,INDUS.ABS,""))=IF(RANGOS.SECT=$A$61,INDUS.ABS,""),ROW(INDUS.ABS)-MIN(ROW(INDUS.ABS))+1,""),ROW()-60)),"")</f>
        <v/>
      </c>
      <c r="L62" s="94"/>
      <c r="M62" s="96" t="str">
        <f t="array" ref="M62">IFERROR(INDEX(MUNICIP.SECT,SMALL(IF(MIN(IF(RANGOS.SECT=$A$61,INDUS.ABS,""))=IF(RANGOS.SECT=$A$61,INDUS.ABS,""),ROW(INDUS.ABS)-MIN(ROW(INDUS.ABS))+1,""),ROW()-60)),"")</f>
        <v/>
      </c>
      <c r="N62" s="95"/>
      <c r="O62" s="95" t="str">
        <f t="array" ref="O62">IFERROR(INDEX(MUNICIP.SECT,SMALL(IF(MAX(IF(RANGOS.SECT=$A$61,INDUS.REV,""))=IF(RANGOS.SECT=$A$61,INDUS.REV,""),ROW(INDUS.REV)-MIN(ROW(INDUS.REV))+1,""),ROW()-60)),"")</f>
        <v/>
      </c>
      <c r="P62" s="94"/>
      <c r="Q62" s="97" t="str">
        <f t="array" ref="Q62">IFERROR(INDEX(MUNICIP.SECT,SMALL(IF(MIN(IF(RANGOS.SECT=$A$61,INDUS.REV,""))=IF(RANGOS.SECT=$A$61,INDUS.REV,""),ROW(INDUS.REV)-MIN(ROW(INDUS.REV))+1,""),ROW()-60)),"")</f>
        <v/>
      </c>
    </row>
    <row r="63" spans="1:17" ht="15" customHeight="1">
      <c r="A63" s="399"/>
      <c r="B63" s="49" t="str">
        <f t="shared" si="11"/>
        <v/>
      </c>
      <c r="C63" s="29" t="str">
        <f>IF($J$61&gt;0,K63,"")</f>
        <v/>
      </c>
      <c r="D63" s="52" t="str">
        <f t="shared" si="8"/>
        <v/>
      </c>
      <c r="E63" s="33" t="str">
        <f>IF($L$61&lt;0,M63,"")</f>
        <v/>
      </c>
      <c r="F63" s="29" t="str">
        <f t="shared" si="9"/>
        <v/>
      </c>
      <c r="G63" s="29" t="str">
        <f>IF($N$61&gt;0,O63,"")</f>
        <v/>
      </c>
      <c r="H63" s="52" t="str">
        <f t="shared" si="10"/>
        <v/>
      </c>
      <c r="I63" s="27" t="str">
        <f>IF($P$61&lt;0,Q63,"")</f>
        <v/>
      </c>
      <c r="J63" s="95"/>
      <c r="K63" s="95" t="str">
        <f t="array" ref="K63">IFERROR(INDEX(MUNICIP.SECT,SMALL(IF(MAX(IF(RANGOS.SECT=$A$61,INDUS.ABS,""))=IF(RANGOS.SECT=$A$61,INDUS.ABS,""),ROW(INDUS.ABS)-MIN(ROW(INDUS.ABS))+1,""),ROW()-60)),"")</f>
        <v/>
      </c>
      <c r="L63" s="94"/>
      <c r="M63" s="96" t="str">
        <f t="array" ref="M63">IFERROR(INDEX(MUNICIP.SECT,SMALL(IF(MIN(IF(RANGOS.SECT=$A$61,INDUS.ABS,""))=IF(RANGOS.SECT=$A$61,INDUS.ABS,""),ROW(INDUS.ABS)-MIN(ROW(INDUS.ABS))+1,""),ROW()-60)),"")</f>
        <v/>
      </c>
      <c r="N63" s="95"/>
      <c r="O63" s="95" t="str">
        <f t="array" ref="O63">IFERROR(INDEX(MUNICIP.SECT,SMALL(IF(MAX(IF(RANGOS.SECT=$A$61,INDUS.REV,""))=IF(RANGOS.SECT=$A$61,INDUS.REV,""),ROW(INDUS.REV)-MIN(ROW(INDUS.REV))+1,""),ROW()-60)),"")</f>
        <v/>
      </c>
      <c r="P63" s="94"/>
      <c r="Q63" s="97" t="str">
        <f t="array" ref="Q63">IFERROR(INDEX(MUNICIP.SECT,SMALL(IF(MIN(IF(RANGOS.SECT=$A$61,INDUS.REV,""))=IF(RANGOS.SECT=$A$61,INDUS.REV,""),ROW(INDUS.REV)-MIN(ROW(INDUS.REV))+1,""),ROW()-60)),"")</f>
        <v/>
      </c>
    </row>
    <row r="64" spans="1:17" ht="15" customHeight="1">
      <c r="A64" s="397" t="s">
        <v>54</v>
      </c>
      <c r="B64" s="36">
        <f t="shared" si="11"/>
        <v>24</v>
      </c>
      <c r="C64" s="44" t="str">
        <f>IF($J$64&gt;0,K64,"NO SUBE EN ESTE RANGO")</f>
        <v>PATERNA DE RIVERA</v>
      </c>
      <c r="D64" s="51">
        <f t="shared" si="8"/>
        <v>-5</v>
      </c>
      <c r="E64" s="31" t="str">
        <f>IF($L$64&lt;0,M64,"NO BAJA EN ESTE RANGO")</f>
        <v>TARIFA</v>
      </c>
      <c r="F64" s="63">
        <f t="shared" si="9"/>
        <v>0.48</v>
      </c>
      <c r="G64" s="44" t="str">
        <f>IF($N$64&gt;0,O64,"NO SUBE EN ESTE RANGO")</f>
        <v>PATERNA DE RIVERA</v>
      </c>
      <c r="H64" s="60">
        <f t="shared" si="10"/>
        <v>-0.13793103448275862</v>
      </c>
      <c r="I64" s="37" t="str">
        <f>IF($P$64&lt;0,Q64,"NO BAJA EN ESTE RANGO")</f>
        <v>JIMENA DE LA FRONTERA</v>
      </c>
      <c r="J64" s="89">
        <f t="array" ref="J64">+MAX(IF(RANGOS.SECT=$A64,INDUS.ABS))</f>
        <v>24</v>
      </c>
      <c r="K64" s="90" t="str">
        <f t="array" ref="K64">IFERROR(INDEX(MUNICIP.SECT,SMALL(IF(MAX(IF(RANGOS.SECT=$A$64,INDUS.ABS,""))=IF(RANGOS.SECT=$A$64,INDUS.ABS,""),ROW(INDUS.ABS)-MIN(ROW(INDUS.ABS))+1,""),ROW()-63)),"")</f>
        <v>PATERNA DE RIVERA</v>
      </c>
      <c r="L64" s="88">
        <f t="array" ref="L64">+MIN(IF(RANGOS.SECT=$A64,INDUS.ABS))</f>
        <v>-5</v>
      </c>
      <c r="M64" s="89" t="str">
        <f t="array" ref="M64">IFERROR(INDEX(MUNICIP.SECT,SMALL(IF(MIN(IF(RANGOS.SECT=$A$64,INDUS.ABS,""))=IF(RANGOS.SECT=$A$64,INDUS.ABS,""),ROW(INDUS.ABS)-MIN(ROW(INDUS.ABS))+1,""),ROW()-63)),"")</f>
        <v>TARIFA</v>
      </c>
      <c r="N64" s="92">
        <f t="array" ref="N64">+MAX(IF(RANGOS.SECT=$A64,INDUS.REV))</f>
        <v>0.48</v>
      </c>
      <c r="O64" s="90" t="str">
        <f t="array" ref="O64">IFERROR(INDEX(MUNICIP.SECT,SMALL(IF(MAX(IF(RANGOS.SECT=$A$64,INDUS.REV,""))=IF(RANGOS.SECT=$A$64,INDUS.REV,""),ROW(INDUS.REV)-MIN(ROW(INDUS.REV))+1,""),ROW()-63)),"")</f>
        <v>PATERNA DE RIVERA</v>
      </c>
      <c r="P64" s="91">
        <f t="array" ref="P64">+MIN(IF(RANGOS.SECT=$A64,INDUS.REV))</f>
        <v>-0.13793103448275862</v>
      </c>
      <c r="Q64" s="93" t="str">
        <f t="array" ref="Q64">IFERROR(INDEX(MUNICIP.SECT,SMALL(IF(MIN(IF(RANGOS.SECT=$A$64,INDUS.REV,""))=IF(RANGOS.SECT=$A$64,INDUS.REV,""),ROW(INDUS.REV)-MIN(ROW(INDUS.REV))+1,""),ROW()-63)),"")</f>
        <v>JIMENA DE LA FRONTERA</v>
      </c>
    </row>
    <row r="65" spans="1:17" ht="15" customHeight="1">
      <c r="A65" s="397"/>
      <c r="B65" s="49" t="str">
        <f t="shared" si="11"/>
        <v/>
      </c>
      <c r="C65" s="29" t="str">
        <f>IF($J$64&gt;0,K65,"")</f>
        <v/>
      </c>
      <c r="D65" s="52" t="str">
        <f t="shared" si="8"/>
        <v/>
      </c>
      <c r="E65" s="33" t="str">
        <f>IF($L$64&lt;0,M65,"")</f>
        <v/>
      </c>
      <c r="F65" s="29" t="str">
        <f t="shared" si="9"/>
        <v/>
      </c>
      <c r="G65" s="29" t="str">
        <f>IF($N$64&gt;0,O65,"")</f>
        <v/>
      </c>
      <c r="H65" s="52" t="str">
        <f t="shared" si="10"/>
        <v/>
      </c>
      <c r="I65" s="27" t="str">
        <f>IF($P$64&lt;0,Q65,"")</f>
        <v/>
      </c>
      <c r="J65" s="95"/>
      <c r="K65" s="90" t="str">
        <f t="array" ref="K65">IFERROR(INDEX(MUNICIP.SECT,SMALL(IF(MAX(IF(RANGOS.SECT=$A$64,INDUS.ABS,""))=IF(RANGOS.SECT=$A$64,INDUS.ABS,""),ROW(INDUS.ABS)-MIN(ROW(INDUS.ABS))+1,""),ROW()-63)),"")</f>
        <v/>
      </c>
      <c r="L65" s="94"/>
      <c r="M65" s="89" t="str">
        <f t="array" ref="M65">IFERROR(INDEX(MUNICIP.SECT,SMALL(IF(MIN(IF(RANGOS.SECT=$A$64,INDUS.ABS,""))=IF(RANGOS.SECT=$A$64,INDUS.ABS,""),ROW(INDUS.ABS)-MIN(ROW(INDUS.ABS))+1,""),ROW()-63)),"")</f>
        <v/>
      </c>
      <c r="N65" s="94"/>
      <c r="O65" s="90" t="str">
        <f t="array" ref="O65">IFERROR(INDEX(MUNICIP.SECT,SMALL(IF(MAX(IF(RANGOS.SECT=$A$64,INDUS.REV,""))=IF(RANGOS.SECT=$A$64,INDUS.REV,""),ROW(INDUS.REV)-MIN(ROW(INDUS.REV))+1,""),ROW()-63)),"")</f>
        <v/>
      </c>
      <c r="P65" s="95"/>
      <c r="Q65" s="93" t="str">
        <f t="array" ref="Q65">IFERROR(INDEX(MUNICIP.SECT,SMALL(IF(MIN(IF(RANGOS.SECT=$A$64,INDUS.REV,""))=IF(RANGOS.SECT=$A$64,INDUS.REV,""),ROW(INDUS.REV)-MIN(ROW(INDUS.REV))+1,""),ROW()-63)),"")</f>
        <v/>
      </c>
    </row>
    <row r="66" spans="1:17" ht="15" customHeight="1">
      <c r="A66" s="397"/>
      <c r="B66" s="50" t="str">
        <f t="shared" si="11"/>
        <v/>
      </c>
      <c r="C66" s="45" t="str">
        <f>IF($J$64&gt;0,K66,"")</f>
        <v/>
      </c>
      <c r="D66" s="61" t="str">
        <f t="shared" si="8"/>
        <v/>
      </c>
      <c r="E66" s="35" t="str">
        <f>IF($L$64&lt;0,M66,"")</f>
        <v/>
      </c>
      <c r="F66" s="45" t="str">
        <f t="shared" si="9"/>
        <v/>
      </c>
      <c r="G66" s="45" t="str">
        <f>IF($N$64&gt;0,O66,"")</f>
        <v/>
      </c>
      <c r="H66" s="61" t="str">
        <f t="shared" si="10"/>
        <v/>
      </c>
      <c r="I66" s="40" t="str">
        <f>IF($P$64&lt;0,Q66,"")</f>
        <v/>
      </c>
      <c r="J66" s="99"/>
      <c r="K66" s="90" t="str">
        <f t="array" ref="K66">IFERROR(INDEX(MUNICIP.SECT,SMALL(IF(MAX(IF(RANGOS.SECT=$A$64,INDUS.ABS,""))=IF(RANGOS.SECT=$A$64,INDUS.ABS,""),ROW(INDUS.ABS)-MIN(ROW(INDUS.ABS))+1,""),ROW()-63)),"")</f>
        <v/>
      </c>
      <c r="L66" s="94"/>
      <c r="M66" s="89" t="str">
        <f t="array" ref="M66">IFERROR(INDEX(MUNICIP.SECT,SMALL(IF(MIN(IF(RANGOS.SECT=$A$64,INDUS.ABS,""))=IF(RANGOS.SECT=$A$64,INDUS.ABS,""),ROW(INDUS.ABS)-MIN(ROW(INDUS.ABS))+1,""),ROW()-63)),"")</f>
        <v/>
      </c>
      <c r="N66" s="94"/>
      <c r="O66" s="90" t="str">
        <f t="array" ref="O66">IFERROR(INDEX(MUNICIP.SECT,SMALL(IF(MAX(IF(RANGOS.SECT=$A$64,INDUS.REV,""))=IF(RANGOS.SECT=$A$64,INDUS.REV,""),ROW(INDUS.REV)-MIN(ROW(INDUS.REV))+1,""),ROW()-63)),"")</f>
        <v/>
      </c>
      <c r="P66" s="95"/>
      <c r="Q66" s="93" t="str">
        <f t="array" ref="Q66">IFERROR(INDEX(MUNICIP.SECT,SMALL(IF(MIN(IF(RANGOS.SECT=$A$64,INDUS.REV,""))=IF(RANGOS.SECT=$A$64,INDUS.REV,""),ROW(INDUS.REV)-MIN(ROW(INDUS.REV))+1,""),ROW()-63)),"")</f>
        <v/>
      </c>
    </row>
    <row r="67" spans="1:17" ht="15" customHeight="1">
      <c r="A67" s="395" t="s">
        <v>56</v>
      </c>
      <c r="B67" s="49">
        <f t="shared" si="11"/>
        <v>83</v>
      </c>
      <c r="C67" s="29" t="str">
        <f>IF($J$67&gt;0,K67,"NO SUBE EN ESTE RANGO")</f>
        <v xml:space="preserve">CADIZ </v>
      </c>
      <c r="D67" s="52">
        <f t="shared" si="8"/>
        <v>-18</v>
      </c>
      <c r="E67" s="33" t="str">
        <f>IF($L$67&lt;0,M67,"NO BAJA EN ESTE RANGO")</f>
        <v>BARBATE</v>
      </c>
      <c r="F67" s="55">
        <f t="shared" si="9"/>
        <v>0.11216429699842022</v>
      </c>
      <c r="G67" s="29" t="str">
        <f>IF($N$67&gt;0,O67,"NO SUBE EN ESTE RANGO")</f>
        <v>SAN FERNANDO</v>
      </c>
      <c r="H67" s="62">
        <f t="shared" si="10"/>
        <v>-6.0402684563758392E-2</v>
      </c>
      <c r="I67" s="27" t="str">
        <f>IF($P$67&lt;0,Q67,"NO BAJA EN ESTE RANGO")</f>
        <v>BARBATE</v>
      </c>
      <c r="J67" s="95">
        <f t="array" ref="J67">+MAX(IF(RANGOS.SECT=$A67,INDUS.ABS))</f>
        <v>83</v>
      </c>
      <c r="K67" s="95" t="str">
        <f t="array" ref="K67">IFERROR(INDEX(MUNICIP.SECT,SMALL(IF(MAX(IF(RANGOS.SECT=$A$67,INDUS.ABS,""))=IF(RANGOS.SECT=$A$67,INDUS.ABS,""),ROW(INDUS.ABS)-MIN(ROW(INDUS.ABS))+1,""),ROW()-66)),"")</f>
        <v xml:space="preserve">CADIZ </v>
      </c>
      <c r="L67" s="88">
        <f t="array" ref="L67">+MIN(IF(RANGOS.SECT=$A67,INDUS.ABS))</f>
        <v>-18</v>
      </c>
      <c r="M67" s="89" t="str">
        <f t="array" ref="M67">IFERROR(INDEX(MUNICIP.SECT,SMALL(IF(MIN(IF(RANGOS.SECT=$A$67,INDUS.ABS,""))=IF(RANGOS.SECT=$A$67,INDUS.ABS,""),ROW(INDUS.ABS)-MIN(ROW(INDUS.ABS))+1,""),ROW()-66)),"")</f>
        <v>BARBATE</v>
      </c>
      <c r="N67" s="92">
        <f t="array" ref="N67">+MAX(IF(RANGOS.SECT=$A67,INDUS.REV))</f>
        <v>0.11216429699842022</v>
      </c>
      <c r="O67" s="90" t="str">
        <f t="array" ref="O67">IFERROR(INDEX(MUNICIP.SECT,SMALL(IF(MAX(IF(RANGOS.SECT=$A$67,INDUS.REV,""))=IF(RANGOS.SECT=$A$67,INDUS.REV,""),ROW(INDUS.REV)-MIN(ROW(INDUS.REV))+1,""),ROW()-66)),"")</f>
        <v>SAN FERNANDO</v>
      </c>
      <c r="P67" s="91">
        <f t="array" ref="P67">+MIN(IF(RANGOS.SECT=$A67,INDUS.REV))</f>
        <v>-6.0402684563758392E-2</v>
      </c>
      <c r="Q67" s="93" t="str">
        <f t="array" ref="Q67">IFERROR(INDEX(MUNICIP.SECT,SMALL(IF(MIN(IF(RANGOS.SECT=$A$67,INDUS.REV,""))=IF(RANGOS.SECT=$A$67,INDUS.REV,""),ROW(INDUS.REV)-MIN(ROW(INDUS.REV))+1,""),ROW()-66)),"")</f>
        <v>BARBATE</v>
      </c>
    </row>
    <row r="68" spans="1:17" ht="15" customHeight="1">
      <c r="A68" s="395"/>
      <c r="B68" s="49" t="str">
        <f t="shared" si="11"/>
        <v/>
      </c>
      <c r="C68" s="29" t="str">
        <f>IF($J$67&gt;0,K68,"")</f>
        <v/>
      </c>
      <c r="D68" s="52" t="str">
        <f t="shared" si="8"/>
        <v/>
      </c>
      <c r="E68" s="33" t="str">
        <f>IF($L$67&lt;0,M68,"")</f>
        <v/>
      </c>
      <c r="F68" s="29" t="str">
        <f t="shared" si="9"/>
        <v/>
      </c>
      <c r="G68" s="29" t="str">
        <f>IF($N$67&gt;0,O68,"")</f>
        <v/>
      </c>
      <c r="H68" s="52" t="str">
        <f t="shared" si="10"/>
        <v/>
      </c>
      <c r="I68" s="27" t="str">
        <f>IF($P$67&lt;0,Q68,"")</f>
        <v/>
      </c>
      <c r="J68" s="95"/>
      <c r="K68" s="95" t="str">
        <f t="array" ref="K68">IFERROR(INDEX(MUNICIP.SECT,SMALL(IF(MAX(IF(RANGOS.SECT=$A$67,INDUS.ABS,""))=IF(RANGOS.SECT=$A$67,INDUS.ABS,""),ROW(INDUS.ABS)-MIN(ROW(INDUS.ABS))+1,""),ROW()-66)),"")</f>
        <v/>
      </c>
      <c r="L68" s="94"/>
      <c r="M68" s="89" t="str">
        <f t="array" ref="M68">IFERROR(INDEX(MUNICIP.SECT,SMALL(IF(MIN(IF(RANGOS.SECT=$A$67,INDUS.ABS,""))=IF(RANGOS.SECT=$A$67,INDUS.ABS,""),ROW(INDUS.ABS)-MIN(ROW(INDUS.ABS))+1,""),ROW()-66)),"")</f>
        <v/>
      </c>
      <c r="N68" s="94"/>
      <c r="O68" s="90" t="str">
        <f t="array" ref="O68">IFERROR(INDEX(MUNICIP.SECT,SMALL(IF(MAX(IF(RANGOS.SECT=$A$67,INDUS.REV,""))=IF(RANGOS.SECT=$A$67,INDUS.REV,""),ROW(INDUS.REV)-MIN(ROW(INDUS.REV))+1,""),ROW()-66)),"")</f>
        <v/>
      </c>
      <c r="P68" s="95"/>
      <c r="Q68" s="93" t="str">
        <f t="array" ref="Q68">IFERROR(INDEX(MUNICIP.SECT,SMALL(IF(MIN(IF(RANGOS.SECT=$A$67,INDUS.REV,""))=IF(RANGOS.SECT=$A$67,INDUS.REV,""),ROW(INDUS.REV)-MIN(ROW(INDUS.REV))+1,""),ROW()-66)),"")</f>
        <v/>
      </c>
    </row>
    <row r="69" spans="1:17" ht="15" customHeight="1">
      <c r="A69" s="403"/>
      <c r="B69" s="50" t="str">
        <f t="shared" si="11"/>
        <v/>
      </c>
      <c r="C69" s="45" t="str">
        <f>IF($J$67&gt;0,K69,"")</f>
        <v/>
      </c>
      <c r="D69" s="61" t="str">
        <f t="shared" si="8"/>
        <v/>
      </c>
      <c r="E69" s="35" t="str">
        <f>IF($L$67&lt;0,M69,"")</f>
        <v/>
      </c>
      <c r="F69" s="45" t="str">
        <f t="shared" si="9"/>
        <v/>
      </c>
      <c r="G69" s="45" t="str">
        <f>IF($N$67&gt;0,O69,"")</f>
        <v/>
      </c>
      <c r="H69" s="61" t="str">
        <f t="shared" si="10"/>
        <v/>
      </c>
      <c r="I69" s="40" t="str">
        <f>IF($P$67&lt;0,Q69,"")</f>
        <v/>
      </c>
      <c r="J69" s="95"/>
      <c r="K69" s="95" t="str">
        <f t="array" ref="K69">IFERROR(INDEX(MUNICIP.SECT,SMALL(IF(MAX(IF(RANGOS.SECT=$A$67,INDUS.ABS,""))=IF(RANGOS.SECT=$A$67,INDUS.ABS,""),ROW(INDUS.ABS)-MIN(ROW(INDUS.ABS))+1,""),ROW()-66)),"")</f>
        <v/>
      </c>
      <c r="L69" s="98"/>
      <c r="M69" s="89" t="str">
        <f t="array" ref="M69">IFERROR(INDEX(MUNICIP.SECT,SMALL(IF(MIN(IF(RANGOS.SECT=$A$67,INDUS.ABS,""))=IF(RANGOS.SECT=$A$67,INDUS.ABS,""),ROW(INDUS.ABS)-MIN(ROW(INDUS.ABS))+1,""),ROW()-66)),"")</f>
        <v/>
      </c>
      <c r="N69" s="98"/>
      <c r="O69" s="90" t="str">
        <f t="array" ref="O69">IFERROR(INDEX(MUNICIP.SECT,SMALL(IF(MAX(IF(RANGOS.SECT=$A$67,INDUS.REV,""))=IF(RANGOS.SECT=$A$67,INDUS.REV,""),ROW(INDUS.REV)-MIN(ROW(INDUS.REV))+1,""),ROW()-66)),"")</f>
        <v/>
      </c>
      <c r="P69" s="99"/>
      <c r="Q69" s="93" t="str">
        <f t="array" ref="Q69">IFERROR(INDEX(MUNICIP.SECT,SMALL(IF(MIN(IF(RANGOS.SECT=$A$67,INDUS.REV,""))=IF(RANGOS.SECT=$A$67,INDUS.REV,""),ROW(INDUS.REV)-MIN(ROW(INDUS.REV))+1,""),ROW()-66)),"")</f>
        <v/>
      </c>
    </row>
    <row r="70" spans="1:17" ht="16.5">
      <c r="A70" s="455" t="s">
        <v>74</v>
      </c>
      <c r="B70" s="456"/>
      <c r="C70" s="456"/>
      <c r="D70" s="456"/>
      <c r="E70" s="456"/>
      <c r="F70" s="456"/>
      <c r="G70" s="456"/>
      <c r="H70" s="456"/>
      <c r="I70" s="457"/>
      <c r="J70" s="9"/>
    </row>
    <row r="71" spans="1:17" ht="16.5">
      <c r="A71" s="77"/>
      <c r="B71" s="394" t="s">
        <v>82</v>
      </c>
      <c r="C71" s="392"/>
      <c r="D71" s="391" t="s">
        <v>83</v>
      </c>
      <c r="E71" s="392"/>
      <c r="F71" s="391" t="s">
        <v>82</v>
      </c>
      <c r="G71" s="392"/>
      <c r="H71" s="391" t="s">
        <v>83</v>
      </c>
      <c r="I71" s="393"/>
      <c r="J71" s="9"/>
    </row>
    <row r="72" spans="1:17" ht="15" customHeight="1">
      <c r="A72" s="480" t="s">
        <v>55</v>
      </c>
      <c r="B72" s="36">
        <f>+IF(J72&gt;0,J72,"")</f>
        <v>32</v>
      </c>
      <c r="C72" s="44" t="str">
        <f>IF($J$72&gt;0,K72,"NO SUBE EN ESTE RANGO")</f>
        <v>ESPERA</v>
      </c>
      <c r="D72" s="36" t="str">
        <f t="shared" ref="D72:D80" si="12">+IF(L72&lt;0,L72,"")</f>
        <v/>
      </c>
      <c r="E72" s="31" t="str">
        <f>IF($L$72&lt;0,M72,"NO BAJA EN ESTE RANGO")</f>
        <v>NO BAJA EN ESTE RANGO</v>
      </c>
      <c r="F72" s="130">
        <f t="shared" ref="F72:F80" si="13">+IF(N72&gt;0,N72,"")</f>
        <v>0.6</v>
      </c>
      <c r="G72" s="44" t="str">
        <f>IF($N$72&gt;0,O72,"NO SUBE EN ESTE RANGO")</f>
        <v>TORRE ALHÁQUIME</v>
      </c>
      <c r="H72" s="137" t="str">
        <f t="shared" ref="H72:H80" si="14">+IF(P72&lt;0,P72,"")</f>
        <v/>
      </c>
      <c r="I72" s="37" t="str">
        <f>IF($P$72&lt;0,Q72,"NO BAJA EN ESTE RANGO")</f>
        <v>NO BAJA EN ESTE RANGO</v>
      </c>
      <c r="J72" s="88">
        <f t="array" ref="J72">+MAX(IF(RANGOS.SECT=$A72,CONSTR.ABS))</f>
        <v>32</v>
      </c>
      <c r="K72" s="89" t="str">
        <f t="array" ref="K72">IFERROR(INDEX(MUNICIP.SECT,SMALL(IF(MAX(IF(RANGOS.SECT=$A$72,CONSTR.ABS,""))=IF(RANGOS.SECT=$A$72,CONSTR.ABS,""),ROW(CONSTR.ABS)-MIN(ROW(CONSTR.ABS))+1,""),ROW()-71)),"")</f>
        <v>ESPERA</v>
      </c>
      <c r="L72" s="88">
        <f t="array" ref="L72">+MIN(IF(RANGOS.SECT=$A72,CONSTR.ABS))</f>
        <v>0</v>
      </c>
      <c r="M72" s="90" t="str">
        <f t="array" ref="M72">IFERROR(INDEX(MUNICIP.SECT,SMALL(IF(MIN(IF(RANGOS.SECT=$A$72,CONSTR.ABS,""))=IF(RANGOS.SECT=$A$72,CONSTR.ABS,""),ROW(CONSTR.ABS)-MIN(ROW(CONSTR.ABS))+1,""),ROW()-71)),"")</f>
        <v>BENAOCAZ</v>
      </c>
      <c r="N72" s="91">
        <f t="array" ref="N72">+MAX(IF(RANGOS.SECT=$A72,CONSTR.REV))</f>
        <v>0.6</v>
      </c>
      <c r="O72" s="89" t="str">
        <f t="array" ref="O72">IFERROR(INDEX(MUNICIP.SECT,SMALL(IF(MAX(IF(RANGOS.SECT=$A$72,CONSTR.REV,""))=IF(RANGOS.SECT=$A$72,CONSTR.REV,""),ROW(CONSTR.REV)-MIN(ROW(CONSTR.REV))+1,""),ROW()-71)),"")</f>
        <v>TORRE ALHÁQUIME</v>
      </c>
      <c r="P72" s="92">
        <f t="array" ref="P72">+MIN(IF(RANGOS.SECT=$A72,CONSTR.REV))</f>
        <v>0</v>
      </c>
      <c r="Q72" s="93" t="str">
        <f t="array" ref="Q72">IFERROR(INDEX(MUNICIP.SECT,SMALL(IF(MIN(IF(RANGOS.SECT=$A$72,CONSTR.REV,""))=IF(RANGOS.SECT=$A$72,CONSTR.REV,""),ROW(CONSTR.REV)-MIN(ROW(CONSTR.REV))+1,""),ROW()-71)),"")</f>
        <v>BENAOCAZ</v>
      </c>
    </row>
    <row r="73" spans="1:17" ht="15" customHeight="1">
      <c r="A73" s="480"/>
      <c r="B73" s="49" t="str">
        <f t="shared" ref="B73:B77" si="15">+IF(J73&gt;0,J73,"")</f>
        <v/>
      </c>
      <c r="C73" s="29" t="str">
        <f>IF($J$72&gt;0,K73,"")</f>
        <v/>
      </c>
      <c r="D73" s="52" t="str">
        <f t="shared" si="12"/>
        <v/>
      </c>
      <c r="E73" s="33" t="str">
        <f>IF($L$72&lt;0,M73,"")</f>
        <v/>
      </c>
      <c r="F73" s="29" t="str">
        <f t="shared" si="13"/>
        <v/>
      </c>
      <c r="G73" s="29" t="str">
        <f>IF($N$72&gt;0,O73,"")</f>
        <v/>
      </c>
      <c r="H73" s="52" t="str">
        <f t="shared" si="14"/>
        <v/>
      </c>
      <c r="I73" s="27" t="str">
        <f>IF($P$72&lt;0,Q73,"")</f>
        <v/>
      </c>
      <c r="J73" s="88"/>
      <c r="K73" s="89" t="str">
        <f t="array" ref="K73">IFERROR(INDEX(MUNICIP.SECT,SMALL(IF(MAX(IF(RANGOS.SECT=$A$72,CONSTR.ABS,""))=IF(RANGOS.SECT=$A$72,CONSTR.ABS,""),ROW(CONSTR.ABS)-MIN(ROW(CONSTR.ABS))+1,""),ROW()-71)),"")</f>
        <v/>
      </c>
      <c r="L73" s="94"/>
      <c r="M73" s="90" t="str">
        <f t="array" ref="M73">IFERROR(INDEX(MUNICIP.SECT,SMALL(IF(MIN(IF(RANGOS.SECT=$A$72,CONSTR.ABS,""))=IF(RANGOS.SECT=$A$72,CONSTR.ABS,""),ROW(CONSTR.ABS)-MIN(ROW(CONSTR.ABS))+1,""),ROW()-71)),"")</f>
        <v>VILLALUENGA DEL ROSARIO</v>
      </c>
      <c r="N73" s="95"/>
      <c r="O73" s="89" t="str">
        <f t="array" ref="O73">IFERROR(INDEX(MUNICIP.SECT,SMALL(IF(MAX(IF(RANGOS.SECT=$A$72,CONSTR.REV,""))=IF(RANGOS.SECT=$A$72,CONSTR.REV,""),ROW(CONSTR.REV)-MIN(ROW(CONSTR.REV))+1,""),ROW()-71)),"")</f>
        <v/>
      </c>
      <c r="P73" s="94"/>
      <c r="Q73" s="93" t="str">
        <f t="array" ref="Q73">IFERROR(INDEX(MUNICIP.SECT,SMALL(IF(MIN(IF(RANGOS.SECT=$A$72,CONSTR.REV,""))=IF(RANGOS.SECT=$A$72,CONSTR.REV,""),ROW(CONSTR.REV)-MIN(ROW(CONSTR.REV))+1,""),ROW()-71)),"")</f>
        <v>VILLALUENGA DEL ROSARIO</v>
      </c>
    </row>
    <row r="74" spans="1:17" ht="15" customHeight="1">
      <c r="A74" s="480"/>
      <c r="B74" s="49" t="str">
        <f t="shared" si="15"/>
        <v/>
      </c>
      <c r="C74" s="29" t="str">
        <f>IF($J$72&gt;0,K74,"")</f>
        <v/>
      </c>
      <c r="D74" s="52" t="str">
        <f t="shared" si="12"/>
        <v/>
      </c>
      <c r="E74" s="33" t="str">
        <f>IF($L$72&lt;0,M74,"")</f>
        <v/>
      </c>
      <c r="F74" s="29" t="str">
        <f t="shared" si="13"/>
        <v/>
      </c>
      <c r="G74" s="29" t="str">
        <f>IF($N$72&gt;0,O74,"")</f>
        <v/>
      </c>
      <c r="H74" s="52" t="str">
        <f t="shared" si="14"/>
        <v/>
      </c>
      <c r="I74" s="27" t="str">
        <f>IF($P$72&lt;0,Q74,"")</f>
        <v/>
      </c>
      <c r="J74" s="94"/>
      <c r="K74" s="89" t="str">
        <f t="array" ref="K74">IFERROR(INDEX(MUNICIP.SECT,SMALL(IF(MAX(IF(RANGOS.SECT=$A$72,CONSTR.ABS,""))=IF(RANGOS.SECT=$A$72,CONSTR.ABS,""),ROW(CONSTR.ABS)-MIN(ROW(CONSTR.ABS))+1,""),ROW()-71)),"")</f>
        <v/>
      </c>
      <c r="L74" s="94"/>
      <c r="M74" s="90" t="str">
        <f t="array" ref="M74">IFERROR(INDEX(MUNICIP.SECT,SMALL(IF(MIN(IF(RANGOS.SECT=$A$72,CONSTR.ABS,""))=IF(RANGOS.SECT=$A$72,CONSTR.ABS,""),ROW(CONSTR.ABS)-MIN(ROW(CONSTR.ABS))+1,""),ROW()-71)),"")</f>
        <v>ZAHARA DE LA SIERRA</v>
      </c>
      <c r="N74" s="95"/>
      <c r="O74" s="89" t="str">
        <f t="array" ref="O74">IFERROR(INDEX(MUNICIP.SECT,SMALL(IF(MAX(IF(RANGOS.SECT=$A$72,CONSTR.REV,""))=IF(RANGOS.SECT=$A$72,CONSTR.REV,""),ROW(CONSTR.REV)-MIN(ROW(CONSTR.REV))+1,""),ROW()-71)),"")</f>
        <v/>
      </c>
      <c r="P74" s="94"/>
      <c r="Q74" s="93" t="str">
        <f t="array" ref="Q74">IFERROR(INDEX(MUNICIP.SECT,SMALL(IF(MIN(IF(RANGOS.SECT=$A$72,CONSTR.REV,""))=IF(RANGOS.SECT=$A$72,CONSTR.REV,""),ROW(CONSTR.REV)-MIN(ROW(CONSTR.REV))+1,""),ROW()-71)),"")</f>
        <v>ZAHARA DE LA SIERRA</v>
      </c>
    </row>
    <row r="75" spans="1:17" ht="15" customHeight="1">
      <c r="A75" s="459" t="s">
        <v>54</v>
      </c>
      <c r="B75" s="36">
        <f t="shared" si="15"/>
        <v>50</v>
      </c>
      <c r="C75" s="44" t="str">
        <f>IF($J$75&gt;0,K75,"NO SUBE EN ESTE RANGO")</f>
        <v>VILLAMARTIN</v>
      </c>
      <c r="D75" s="51">
        <f t="shared" si="12"/>
        <v>-8</v>
      </c>
      <c r="E75" s="31" t="str">
        <f>IF($L$75&lt;0,M75,"NO BAJA EN ESTE RANGO")</f>
        <v>ALCALÁ DEL VALLE</v>
      </c>
      <c r="F75" s="63">
        <f t="shared" si="13"/>
        <v>0.6</v>
      </c>
      <c r="G75" s="44" t="str">
        <f>IF($N$75&gt;0,O75,"NO SUBE EN ESTE RANGO")</f>
        <v xml:space="preserve">ALGODONALES </v>
      </c>
      <c r="H75" s="60">
        <f t="shared" si="14"/>
        <v>-0.20512820512820512</v>
      </c>
      <c r="I75" s="37" t="str">
        <f>IF($P$75&lt;0,Q75,"NO BAJA EN ESTE RANGO")</f>
        <v>ALCALÁ DEL VALLE</v>
      </c>
      <c r="J75" s="88">
        <f t="array" ref="J75">+MAX(IF(RANGOS.SECT=$A75,CONSTR.ABS))</f>
        <v>50</v>
      </c>
      <c r="K75" s="89" t="str">
        <f t="array" ref="K75">IFERROR(INDEX(MUNICIP.SECT,SMALL(IF(MAX(IF(RANGOS.SECT=$A$75,CONSTR.ABS,""))=IF(RANGOS.SECT=$A$75,CONSTR.ABS,""),ROW(CONSTR.ABS)-MIN(ROW(CONSTR.ABS))+1,""),ROW()-74)),"")</f>
        <v>VILLAMARTIN</v>
      </c>
      <c r="L75" s="88">
        <f t="array" ref="L75">+MIN(IF(RANGOS.SECT=$A75,CONSTR.ABS))</f>
        <v>-8</v>
      </c>
      <c r="M75" s="90" t="str">
        <f t="array" ref="M75">IFERROR(INDEX(MUNICIP.SECT,SMALL(IF(MIN(IF(RANGOS.SECT=$A$75,CONSTR.ABS,""))=IF(RANGOS.SECT=$A$75,CONSTR.ABS,""),ROW(CONSTR.ABS)-MIN(ROW(CONSTR.ABS))+1,""),ROW()-74)),"")</f>
        <v>ALCALÁ DEL VALLE</v>
      </c>
      <c r="N75" s="91">
        <f t="array" ref="N75">+MAX(IF(RANGOS.SECT=$A75,CONSTR.REV))</f>
        <v>0.6</v>
      </c>
      <c r="O75" s="89" t="str">
        <f t="array" ref="O75">IFERROR(INDEX(MUNICIP.SECT,SMALL(IF(MAX(IF(RANGOS.SECT=$A$75,CONSTR.REV,""))=IF(RANGOS.SECT=$A$75,CONSTR.REV,""),ROW(CONSTR.REV)-MIN(ROW(CONSTR.REV))+1,""),ROW()-74)),"")</f>
        <v xml:space="preserve">ALGODONALES </v>
      </c>
      <c r="P75" s="92">
        <f t="array" ref="P75">+MIN(IF(RANGOS.SECT=$A75,CONSTR.REV))</f>
        <v>-0.20512820512820512</v>
      </c>
      <c r="Q75" s="93" t="str">
        <f t="array" ref="Q75">IFERROR(INDEX(MUNICIP.SECT,SMALL(IF(MIN(IF(RANGOS.SECT=$A$75,CONSTR.REV,""))=IF(RANGOS.SECT=$A$75,CONSTR.REV,""),ROW(CONSTR.REV)-MIN(ROW(CONSTR.REV))+1,""),ROW()-74)),"")</f>
        <v>ALCALÁ DEL VALLE</v>
      </c>
    </row>
    <row r="76" spans="1:17" ht="15" customHeight="1">
      <c r="A76" s="459"/>
      <c r="B76" s="49" t="str">
        <f t="shared" si="15"/>
        <v/>
      </c>
      <c r="C76" s="29" t="str">
        <f>IF($J$75&gt;0,K76,"")</f>
        <v/>
      </c>
      <c r="D76" s="52" t="str">
        <f t="shared" si="12"/>
        <v/>
      </c>
      <c r="E76" s="33" t="str">
        <f>IF($L$75&lt;0,M76,"")</f>
        <v/>
      </c>
      <c r="F76" s="29" t="str">
        <f t="shared" si="13"/>
        <v/>
      </c>
      <c r="G76" s="29" t="str">
        <f>IF($N$75&gt;0,O76,"")</f>
        <v/>
      </c>
      <c r="H76" s="52" t="str">
        <f t="shared" si="14"/>
        <v/>
      </c>
      <c r="I76" s="27" t="str">
        <f>IF($P$75&lt;0,Q76,"")</f>
        <v/>
      </c>
      <c r="J76" s="94"/>
      <c r="K76" s="89" t="str">
        <f t="array" ref="K76">IFERROR(INDEX(MUNICIP.SECT,SMALL(IF(MAX(IF(RANGOS.SECT=$A$75,CONSTR.ABS,""))=IF(RANGOS.SECT=$A$75,CONSTR.ABS,""),ROW(CONSTR.ABS)-MIN(ROW(CONSTR.ABS))+1,""),ROW()-74)),"")</f>
        <v/>
      </c>
      <c r="L76" s="94"/>
      <c r="M76" s="90" t="str">
        <f t="array" ref="M76">IFERROR(INDEX(MUNICIP.SECT,SMALL(IF(MIN(IF(RANGOS.SECT=$A$75,CONSTR.ABS,""))=IF(RANGOS.SECT=$A$75,CONSTR.ABS,""),ROW(CONSTR.ABS)-MIN(ROW(CONSTR.ABS))+1,""),ROW()-74)),"")</f>
        <v/>
      </c>
      <c r="N76" s="95"/>
      <c r="O76" s="89" t="str">
        <f t="array" ref="O76">IFERROR(INDEX(MUNICIP.SECT,SMALL(IF(MAX(IF(RANGOS.SECT=$A$75,CONSTR.REV,""))=IF(RANGOS.SECT=$A$75,CONSTR.REV,""),ROW(CONSTR.REV)-MIN(ROW(CONSTR.REV))+1,""),ROW()-74)),"")</f>
        <v/>
      </c>
      <c r="P76" s="94"/>
      <c r="Q76" s="93" t="str">
        <f t="array" ref="Q76">IFERROR(INDEX(MUNICIP.SECT,SMALL(IF(MIN(IF(RANGOS.SECT=$A$75,CONSTR.REV,""))=IF(RANGOS.SECT=$A$75,CONSTR.REV,""),ROW(CONSTR.REV)-MIN(ROW(CONSTR.REV))+1,""),ROW()-74)),"")</f>
        <v/>
      </c>
    </row>
    <row r="77" spans="1:17" ht="15" customHeight="1">
      <c r="A77" s="459"/>
      <c r="B77" s="50" t="str">
        <f t="shared" si="15"/>
        <v/>
      </c>
      <c r="C77" s="45" t="str">
        <f>IF($J$75&gt;0,K77,"")</f>
        <v/>
      </c>
      <c r="D77" s="61" t="str">
        <f t="shared" si="12"/>
        <v/>
      </c>
      <c r="E77" s="35" t="str">
        <f>IF($L$75&lt;0,M77,"")</f>
        <v/>
      </c>
      <c r="F77" s="45" t="str">
        <f t="shared" si="13"/>
        <v/>
      </c>
      <c r="G77" s="45" t="str">
        <f>IF($N$75&gt;0,O77,"")</f>
        <v/>
      </c>
      <c r="H77" s="61" t="str">
        <f t="shared" si="14"/>
        <v/>
      </c>
      <c r="I77" s="40" t="str">
        <f>IF($P$75&lt;0,Q77,"")</f>
        <v/>
      </c>
      <c r="J77" s="98"/>
      <c r="K77" s="89" t="str">
        <f t="array" ref="K77">IFERROR(INDEX(MUNICIP.SECT,SMALL(IF(MAX(IF(RANGOS.SECT=$A$75,CONSTR.ABS,""))=IF(RANGOS.SECT=$A$75,CONSTR.ABS,""),ROW(CONSTR.ABS)-MIN(ROW(CONSTR.ABS))+1,""),ROW()-74)),"")</f>
        <v/>
      </c>
      <c r="L77" s="98"/>
      <c r="M77" s="90" t="str">
        <f t="array" ref="M77">IFERROR(INDEX(MUNICIP.SECT,SMALL(IF(MIN(IF(RANGOS.SECT=$A$75,CONSTR.ABS,""))=IF(RANGOS.SECT=$A$75,CONSTR.ABS,""),ROW(CONSTR.ABS)-MIN(ROW(CONSTR.ABS))+1,""),ROW()-74)),"")</f>
        <v/>
      </c>
      <c r="N77" s="99"/>
      <c r="O77" s="89" t="str">
        <f t="array" ref="O77">IFERROR(INDEX(MUNICIP.SECT,SMALL(IF(MAX(IF(RANGOS.SECT=$A$75,CONSTR.REV,""))=IF(RANGOS.SECT=$A$75,CONSTR.REV,""),ROW(CONSTR.REV)-MIN(ROW(CONSTR.REV))+1,""),ROW()-74)),"")</f>
        <v/>
      </c>
      <c r="P77" s="98"/>
      <c r="Q77" s="93" t="str">
        <f t="array" ref="Q77">IFERROR(INDEX(MUNICIP.SECT,SMALL(IF(MIN(IF(RANGOS.SECT=$A$75,CONSTR.REV,""))=IF(RANGOS.SECT=$A$75,CONSTR.REV,""),ROW(CONSTR.REV)-MIN(ROW(CONSTR.REV))+1,""),ROW()-74)),"")</f>
        <v/>
      </c>
    </row>
    <row r="78" spans="1:17" ht="15" customHeight="1">
      <c r="A78" s="479" t="s">
        <v>56</v>
      </c>
      <c r="B78" s="49">
        <f>+IF(J78&gt;0,J78,"")</f>
        <v>265</v>
      </c>
      <c r="C78" s="29" t="str">
        <f>IF($J$78&gt;0,K78,"NO SUBE EN ESTE RANGO")</f>
        <v>JEREZ DE LA FRONTERA</v>
      </c>
      <c r="D78" s="52" t="str">
        <f t="shared" si="12"/>
        <v/>
      </c>
      <c r="E78" s="33" t="str">
        <f>IF($L$78&lt;0,M78,"NO BAJA EN ESTE RANGO")</f>
        <v>NO BAJA EN ESTE RANGO</v>
      </c>
      <c r="F78" s="55">
        <f t="shared" si="13"/>
        <v>0.23413897280966767</v>
      </c>
      <c r="G78" s="29" t="str">
        <f>IF($N$78&gt;0,O78,"NO SUBE EN ESTE RANGO")</f>
        <v>ARCOS DE LA FRONTERA</v>
      </c>
      <c r="H78" s="62" t="str">
        <f t="shared" si="14"/>
        <v/>
      </c>
      <c r="I78" s="27" t="str">
        <f>IF($P$78&lt;0,Q78,"NO BAJA EN ESTE RANGO")</f>
        <v>NO BAJA EN ESTE RANGO</v>
      </c>
      <c r="J78" s="94">
        <f t="array" ref="J78">+MAX(IF(RANGOS.SECT=$A78,CONSTR.ABS))</f>
        <v>265</v>
      </c>
      <c r="K78" s="95" t="str">
        <f t="array" ref="K78">IFERROR(INDEX(MUNICIP.SECT,SMALL(IF(MAX(IF(RANGOS.SECT=$A$78,CONSTR.ABS,""))=IF(RANGOS.SECT=$A$78,CONSTR.ABS,""),ROW(CONSTR.ABS)-MIN(ROW(CONSTR.ABS))+1,""),ROW()-77)),"")</f>
        <v>JEREZ DE LA FRONTERA</v>
      </c>
      <c r="L78" s="94">
        <f t="array" ref="L78">+MIN(IF(RANGOS.SECT=$A78,CONSTR.ABS))</f>
        <v>4</v>
      </c>
      <c r="M78" s="96" t="str">
        <f t="array" ref="M78">IFERROR(INDEX(MUNICIP.SECT,SMALL(IF(MIN(IF(RANGOS.SECT=$A$78,CONSTR.ABS,""))=IF(RANGOS.SECT=$A$78,CONSTR.ABS,""),ROW(CONSTR.ABS)-MIN(ROW(CONSTR.ABS))+1,""),ROW()-77)),"")</f>
        <v>BARBATE</v>
      </c>
      <c r="N78" s="100">
        <f t="array" ref="N78">+MAX(IF(RANGOS.SECT=$A78,CONSTR.REV))</f>
        <v>0.23413897280966767</v>
      </c>
      <c r="O78" s="95" t="str">
        <f t="array" ref="O78">IFERROR(INDEX(MUNICIP.SECT,SMALL(IF(MAX(IF(RANGOS.SECT=$A$78,CONSTR.REV,""))=IF(RANGOS.SECT=$A$78,CONSTR.REV,""),ROW(CONSTR.REV)-MIN(ROW(CONSTR.REV))+1,""),ROW()-77)),"")</f>
        <v>ARCOS DE LA FRONTERA</v>
      </c>
      <c r="P78" s="101">
        <f t="array" ref="P78">+MIN(IF(RANGOS.SECT=$A78,CONSTR.REV))</f>
        <v>1.1970534069981584E-2</v>
      </c>
      <c r="Q78" s="97" t="str">
        <f t="array" ref="Q78">IFERROR(INDEX(MUNICIP.SECT,SMALL(IF(MIN(IF(RANGOS.SECT=$A$78,CONSTR.REV,""))=IF(RANGOS.SECT=$A$78,CONSTR.REV,""),ROW(CONSTR.REV)-MIN(ROW(CONSTR.REV))+1,""),ROW()-77)),"")</f>
        <v>LA LINEA DE LA CONCEPCIÓN</v>
      </c>
    </row>
    <row r="79" spans="1:17" ht="15" customHeight="1">
      <c r="A79" s="479"/>
      <c r="B79" s="49"/>
      <c r="C79" s="29" t="str">
        <f>IF($J$78&gt;0,K79,"")</f>
        <v/>
      </c>
      <c r="D79" s="52" t="str">
        <f t="shared" si="12"/>
        <v/>
      </c>
      <c r="E79" s="33" t="str">
        <f>IF($L$78&lt;0,M79,"")</f>
        <v/>
      </c>
      <c r="F79" s="29" t="str">
        <f t="shared" si="13"/>
        <v/>
      </c>
      <c r="G79" s="29" t="str">
        <f>IF($N$78&gt;0,O79,"")</f>
        <v/>
      </c>
      <c r="H79" s="52" t="str">
        <f t="shared" si="14"/>
        <v/>
      </c>
      <c r="I79" s="27" t="str">
        <f>IF($P$78&lt;0,Q79,"")</f>
        <v/>
      </c>
      <c r="J79" s="94"/>
      <c r="K79" s="95" t="str">
        <f t="array" ref="K79">IFERROR(INDEX(MUNICIP.SECT,SMALL(IF(MAX(IF(RANGOS.SECT=$A$78,CONSTR.ABS,""))=IF(RANGOS.SECT=$A$78,CONSTR.ABS,""),ROW(CONSTR.ABS)-MIN(ROW(CONSTR.ABS))+1,""),ROW()-77)),"")</f>
        <v/>
      </c>
      <c r="L79" s="94"/>
      <c r="M79" s="96" t="str">
        <f t="array" ref="M79">IFERROR(INDEX(MUNICIP.SECT,SMALL(IF(MIN(IF(RANGOS.SECT=$A$78,CONSTR.ABS,""))=IF(RANGOS.SECT=$A$78,CONSTR.ABS,""),ROW(CONSTR.ABS)-MIN(ROW(CONSTR.ABS))+1,""),ROW()-77)),"")</f>
        <v/>
      </c>
      <c r="N79" s="95"/>
      <c r="O79" s="95" t="str">
        <f t="array" ref="O79">IFERROR(INDEX(MUNICIP.SECT,SMALL(IF(MAX(IF(RANGOS.SECT=$A$78,CONSTR.REV,""))=IF(RANGOS.SECT=$A$78,CONSTR.REV,""),ROW(CONSTR.REV)-MIN(ROW(CONSTR.REV))+1,""),ROW()-77)),"")</f>
        <v/>
      </c>
      <c r="P79" s="94"/>
      <c r="Q79" s="97" t="str">
        <f t="array" ref="Q79">IFERROR(INDEX(MUNICIP.SECT,SMALL(IF(MIN(IF(RANGOS.SECT=$A$78,CONSTR.REV,""))=IF(RANGOS.SECT=$A$78,CONSTR.REV,""),ROW(CONSTR.REV)-MIN(ROW(CONSTR.REV))+1,""),ROW()-77)),"")</f>
        <v/>
      </c>
    </row>
    <row r="80" spans="1:17" ht="15" customHeight="1">
      <c r="A80" s="479"/>
      <c r="B80" s="50"/>
      <c r="C80" s="45" t="str">
        <f>IF($J$78&gt;0,K80,"")</f>
        <v/>
      </c>
      <c r="D80" s="61" t="str">
        <f t="shared" si="12"/>
        <v/>
      </c>
      <c r="E80" s="35" t="str">
        <f>IF($L$78&lt;0,M80,"")</f>
        <v/>
      </c>
      <c r="F80" s="45" t="str">
        <f t="shared" si="13"/>
        <v/>
      </c>
      <c r="G80" s="45" t="str">
        <f>IF($N$78&gt;0,O80,"")</f>
        <v/>
      </c>
      <c r="H80" s="61" t="str">
        <f t="shared" si="14"/>
        <v/>
      </c>
      <c r="I80" s="40" t="str">
        <f>IF($P$78&lt;0,Q80,"")</f>
        <v/>
      </c>
      <c r="J80" s="98"/>
      <c r="K80" s="95" t="str">
        <f t="array" ref="K80">IFERROR(INDEX(MUNICIP.SECT,SMALL(IF(MAX(IF(RANGOS.SECT=$A$78,CONSTR.ABS,""))=IF(RANGOS.SECT=$A$78,CONSTR.ABS,""),ROW(CONSTR.ABS)-MIN(ROW(CONSTR.ABS))+1,""),ROW()-77)),"")</f>
        <v/>
      </c>
      <c r="L80" s="98"/>
      <c r="M80" s="96" t="str">
        <f t="array" ref="M80">IFERROR(INDEX(MUNICIP.SECT,SMALL(IF(MIN(IF(RANGOS.SECT=$A$78,CONSTR.ABS,""))=IF(RANGOS.SECT=$A$78,CONSTR.ABS,""),ROW(CONSTR.ABS)-MIN(ROW(CONSTR.ABS))+1,""),ROW()-77)),"")</f>
        <v/>
      </c>
      <c r="N80" s="99"/>
      <c r="O80" s="95" t="str">
        <f t="array" ref="O80">IFERROR(INDEX(MUNICIP.SECT,SMALL(IF(MAX(IF(RANGOS.SECT=$A$78,CONSTR.REV,""))=IF(RANGOS.SECT=$A$78,CONSTR.REV,""),ROW(CONSTR.REV)-MIN(ROW(CONSTR.REV))+1,""),ROW()-77)),"")</f>
        <v/>
      </c>
      <c r="P80" s="98"/>
      <c r="Q80" s="97" t="str">
        <f t="array" ref="Q80">IFERROR(INDEX(MUNICIP.SECT,SMALL(IF(MIN(IF(RANGOS.SECT=$A$78,CONSTR.REV,""))=IF(RANGOS.SECT=$A$78,CONSTR.REV,""),ROW(CONSTR.REV)-MIN(ROW(CONSTR.REV))+1,""),ROW()-77)),"")</f>
        <v/>
      </c>
    </row>
    <row r="81" spans="1:18" ht="16.5">
      <c r="A81" s="458" t="s">
        <v>75</v>
      </c>
      <c r="B81" s="456"/>
      <c r="C81" s="456"/>
      <c r="D81" s="456"/>
      <c r="E81" s="456"/>
      <c r="F81" s="456"/>
      <c r="G81" s="456"/>
      <c r="H81" s="456"/>
      <c r="I81" s="457"/>
      <c r="J81" s="9"/>
    </row>
    <row r="82" spans="1:18" ht="16.5">
      <c r="A82" s="76"/>
      <c r="B82" s="394" t="s">
        <v>82</v>
      </c>
      <c r="C82" s="392"/>
      <c r="D82" s="391" t="s">
        <v>83</v>
      </c>
      <c r="E82" s="392"/>
      <c r="F82" s="391" t="s">
        <v>82</v>
      </c>
      <c r="G82" s="392"/>
      <c r="H82" s="391" t="s">
        <v>83</v>
      </c>
      <c r="I82" s="393"/>
      <c r="J82" s="9"/>
    </row>
    <row r="83" spans="1:18" ht="15" customHeight="1">
      <c r="A83" s="399" t="s">
        <v>55</v>
      </c>
      <c r="B83" s="36">
        <f t="shared" ref="B83:B91" si="16">+IF(J83&gt;0,J83,"")</f>
        <v>16</v>
      </c>
      <c r="C83" s="44" t="str">
        <f>IF($J$83&gt;0,K83,"NO SUBE EN ESTE RANGO")</f>
        <v>ESPERA</v>
      </c>
      <c r="D83" s="36">
        <f t="shared" ref="D83:D91" si="17">+IF(L83&lt;0,L83,"")</f>
        <v>-21</v>
      </c>
      <c r="E83" s="31" t="str">
        <f>IF($L$83&lt;0,M83,"NO BAJA EN ESTE RANGO")</f>
        <v>CASTELLAR DE LA FRONTERA</v>
      </c>
      <c r="F83" s="130">
        <f t="shared" ref="F83:F91" si="18">+IF(N83&gt;0,N83,"")</f>
        <v>8.5561497326203204E-2</v>
      </c>
      <c r="G83" s="44" t="str">
        <f>IF($N$83&gt;0,O83,"NO SUBE EN ESTE RANGO")</f>
        <v>ESPERA</v>
      </c>
      <c r="H83" s="137">
        <f t="shared" ref="H83:H91" si="19">+IF(P83&lt;0,P83,"")</f>
        <v>-9.5238095238095233E-2</v>
      </c>
      <c r="I83" s="37" t="str">
        <f>IF($P$83&lt;0,Q83,"NO BAJA EN ESTE RANGO")</f>
        <v>BENAOCAZ</v>
      </c>
      <c r="J83" s="88">
        <f t="array" ref="J83">+MAX(IF(RANGOS.SECT=$A83,SERVI.ABS))</f>
        <v>16</v>
      </c>
      <c r="K83" s="89" t="str">
        <f t="array" ref="K83">IFERROR(INDEX(MUNICIP.SECT,SMALL(IF(MAX(IF(RANGOS.SECT=$A$83,SERVI.ABS,""))=IF(RANGOS.SECT=$A$83,SERVI.ABS,""),ROW(SERVI.ABS)-MIN(ROW(SERVI.ABS))+1,""),ROW()-82)),"")</f>
        <v>ESPERA</v>
      </c>
      <c r="L83" s="88">
        <f t="array" ref="L83">+MIN(IF(RANGOS.SECT=$A83,SERVI.ABS))</f>
        <v>-21</v>
      </c>
      <c r="M83" s="90" t="str">
        <f t="array" ref="M83">IFERROR(INDEX(MUNICIP.SECT,SMALL(IF(MIN(IF(RANGOS.SECT=$A$83,SERVI.ABS,""))=IF(RANGOS.SECT=$A$83,SERVI.ABS,""),ROW(SERVI.ABS)-MIN(ROW(SERVI.ABS))+1,""),ROW()-82)),"")</f>
        <v>CASTELLAR DE LA FRONTERA</v>
      </c>
      <c r="N83" s="91">
        <f t="array" ref="N83">+MAX(IF(RANGOS.SECT=$A83,SERVI.REV))</f>
        <v>8.5561497326203204E-2</v>
      </c>
      <c r="O83" s="89" t="str">
        <f t="array" ref="O83">IFERROR(INDEX(MUNICIP.SECT,SMALL(IF(MAX(IF(RANGOS.SECT=$A$83,SERVI.REV,""))=IF(RANGOS.SECT=$A$83,SERVI.REV,""),ROW(SERVI.REV)-MIN(ROW(SERVI.REV))+1,""),ROW()-82)),"")</f>
        <v>ESPERA</v>
      </c>
      <c r="P83" s="92">
        <f t="array" ref="P83">+MIN(IF(RANGOS.SECT=$A83,SERVI.REV))</f>
        <v>-9.5238095238095233E-2</v>
      </c>
      <c r="Q83" s="93" t="str">
        <f t="array" ref="Q83">IFERROR(INDEX(MUNICIP.SECT,SMALL(IF(MIN(IF(RANGOS.SECT=$A$83,SERVI.REV,""))=IF(RANGOS.SECT=$A$83,SERVI.REV,""),ROW(SERVI.REV)-MIN(ROW(SERVI.REV))+1,""),ROW()-82)),"")</f>
        <v>BENAOCAZ</v>
      </c>
    </row>
    <row r="84" spans="1:18" ht="15" customHeight="1">
      <c r="A84" s="399"/>
      <c r="B84" s="49" t="str">
        <f t="shared" si="16"/>
        <v/>
      </c>
      <c r="C84" s="29" t="str">
        <f>IF($J$83&gt;0,K84,"")</f>
        <v/>
      </c>
      <c r="D84" s="52" t="str">
        <f t="shared" si="17"/>
        <v/>
      </c>
      <c r="E84" s="33" t="str">
        <f>IF($L$83&lt;0,M84,"")</f>
        <v/>
      </c>
      <c r="F84" s="29" t="str">
        <f t="shared" si="18"/>
        <v/>
      </c>
      <c r="G84" s="29" t="str">
        <f>IF($N$83&gt;0,O84,"")</f>
        <v/>
      </c>
      <c r="H84" s="62" t="str">
        <f t="shared" si="19"/>
        <v/>
      </c>
      <c r="I84" s="27" t="str">
        <f>IF($P$83&lt;0,Q84,"")</f>
        <v/>
      </c>
      <c r="J84" s="94"/>
      <c r="K84" s="89" t="str">
        <f t="array" ref="K84">IFERROR(INDEX(MUNICIP.SECT,SMALL(IF(MAX(IF(RANGOS.SECT=$A$83,SERVI.ABS,""))=IF(RANGOS.SECT=$A$83,SERVI.ABS,""),ROW(SERVI.ABS)-MIN(ROW(SERVI.ABS))+1,""),ROW()-82)),"")</f>
        <v/>
      </c>
      <c r="L84" s="94"/>
      <c r="M84" s="90" t="str">
        <f t="array" ref="M84">IFERROR(INDEX(MUNICIP.SECT,SMALL(IF(MIN(IF(RANGOS.SECT=$A$83,SERVI.ABS,""))=IF(RANGOS.SECT=$A$83,SERVI.ABS,""),ROW(SERVI.ABS)-MIN(ROW(SERVI.ABS))+1,""),ROW()-82)),"")</f>
        <v/>
      </c>
      <c r="N84" s="95"/>
      <c r="O84" s="89" t="str">
        <f t="array" ref="O84">IFERROR(INDEX(MUNICIP.SECT,SMALL(IF(MAX(IF(RANGOS.SECT=$A$83,SERVI.REV,""))=IF(RANGOS.SECT=$A$83,SERVI.REV,""),ROW(SERVI.REV)-MIN(ROW(SERVI.REV))+1,""),ROW()-82)),"")</f>
        <v/>
      </c>
      <c r="P84" s="101"/>
      <c r="Q84" s="93" t="str">
        <f t="array" ref="Q84">IFERROR(INDEX(MUNICIP.SECT,SMALL(IF(MIN(IF(RANGOS.SECT=$A$83,SERVI.REV,""))=IF(RANGOS.SECT=$A$83,SERVI.REV,""),ROW(SERVI.REV)-MIN(ROW(SERVI.REV))+1,""),ROW()-82)),"")</f>
        <v/>
      </c>
    </row>
    <row r="85" spans="1:18" ht="15" customHeight="1">
      <c r="A85" s="399"/>
      <c r="B85" s="49" t="str">
        <f t="shared" si="16"/>
        <v/>
      </c>
      <c r="C85" s="29" t="str">
        <f>IF($J$83&gt;0,K85,"")</f>
        <v/>
      </c>
      <c r="D85" s="52" t="str">
        <f t="shared" si="17"/>
        <v/>
      </c>
      <c r="E85" s="33" t="str">
        <f>IF($L$83&lt;0,M85,"")</f>
        <v/>
      </c>
      <c r="F85" s="29" t="str">
        <f t="shared" si="18"/>
        <v/>
      </c>
      <c r="G85" s="29" t="str">
        <f>IF($N$83&gt;0,O85,"")</f>
        <v/>
      </c>
      <c r="H85" s="62" t="str">
        <f t="shared" si="19"/>
        <v/>
      </c>
      <c r="I85" s="27" t="str">
        <f>IF($P$83&lt;0,Q85,"")</f>
        <v/>
      </c>
      <c r="J85" s="94"/>
      <c r="K85" s="89" t="str">
        <f t="array" ref="K85">IFERROR(INDEX(MUNICIP.SECT,SMALL(IF(MAX(IF(RANGOS.SECT=$A$83,SERVI.ABS,""))=IF(RANGOS.SECT=$A$83,SERVI.ABS,""),ROW(SERVI.ABS)-MIN(ROW(SERVI.ABS))+1,""),ROW()-82)),"")</f>
        <v/>
      </c>
      <c r="L85" s="94"/>
      <c r="M85" s="90" t="str">
        <f t="array" ref="M85">IFERROR(INDEX(MUNICIP.SECT,SMALL(IF(MIN(IF(RANGOS.SECT=$A$83,SERVI.ABS,""))=IF(RANGOS.SECT=$A$83,SERVI.ABS,""),ROW(SERVI.ABS)-MIN(ROW(SERVI.ABS))+1,""),ROW()-82)),"")</f>
        <v/>
      </c>
      <c r="N85" s="95"/>
      <c r="O85" s="89" t="str">
        <f t="array" ref="O85">IFERROR(INDEX(MUNICIP.SECT,SMALL(IF(MAX(IF(RANGOS.SECT=$A$83,SERVI.REV,""))=IF(RANGOS.SECT=$A$83,SERVI.REV,""),ROW(SERVI.REV)-MIN(ROW(SERVI.REV))+1,""),ROW()-82)),"")</f>
        <v/>
      </c>
      <c r="P85" s="101"/>
      <c r="Q85" s="93" t="str">
        <f t="array" ref="Q85">IFERROR(INDEX(MUNICIP.SECT,SMALL(IF(MIN(IF(RANGOS.SECT=$A$83,SERVI.REV,""))=IF(RANGOS.SECT=$A$83,SERVI.REV,""),ROW(SERVI.REV)-MIN(ROW(SERVI.REV))+1,""),ROW()-82)),"")</f>
        <v/>
      </c>
    </row>
    <row r="86" spans="1:18" ht="15" customHeight="1">
      <c r="A86" s="397" t="s">
        <v>54</v>
      </c>
      <c r="B86" s="36">
        <f t="shared" si="16"/>
        <v>31</v>
      </c>
      <c r="C86" s="44" t="str">
        <f>IF($J$86&gt;0,K86,"NO SUBE EN ESTE RANGO")</f>
        <v>TREBUJENA</v>
      </c>
      <c r="D86" s="51">
        <f t="shared" si="17"/>
        <v>-93</v>
      </c>
      <c r="E86" s="31" t="str">
        <f>IF($L$86&lt;0,M86,"NO BAJA EN ESTE RANGO")</f>
        <v>TARIFA</v>
      </c>
      <c r="F86" s="63">
        <f t="shared" si="18"/>
        <v>7.3459715639810422E-2</v>
      </c>
      <c r="G86" s="44" t="str">
        <f>IF($N$86&gt;0,O86,"NO SUBE EN ESTE RANGO")</f>
        <v>TREBUJENA</v>
      </c>
      <c r="H86" s="60">
        <f t="shared" si="19"/>
        <v>-5.6227327690447401E-2</v>
      </c>
      <c r="I86" s="37" t="str">
        <f>IF($P$86&lt;0,Q86,"NO BAJA EN ESTE RANGO")</f>
        <v>TARIFA</v>
      </c>
      <c r="J86" s="88">
        <f t="array" ref="J86">+MAX(IF(RANGOS.SECT=$A86,SERVI.ABS))</f>
        <v>31</v>
      </c>
      <c r="K86" s="89" t="str">
        <f t="array" ref="K86">IFERROR(INDEX(MUNICIP.SECT,SMALL(IF(MAX(IF(RANGOS.SECT=$A$86,SERVI.ABS,""))=IF(RANGOS.SECT=$A$86,SERVI.ABS,""),ROW(SERVI.ABS)-MIN(ROW(SERVI.ABS))+1,""),ROW()-85)),"")</f>
        <v>TREBUJENA</v>
      </c>
      <c r="L86" s="88">
        <f t="array" ref="L86">+MIN(IF(RANGOS.SECT=$A86,SERVI.ABS))</f>
        <v>-93</v>
      </c>
      <c r="M86" s="90" t="str">
        <f t="array" ref="M86">IFERROR(INDEX(MUNICIP.SECT,SMALL(IF(MIN(IF(RANGOS.SECT=$A$86,SERVI.ABS,""))=IF(RANGOS.SECT=$A$86,SERVI.ABS,""),ROW(SERVI.ABS)-MIN(ROW(SERVI.ABS))+1,""),ROW()-85)),"")</f>
        <v>TARIFA</v>
      </c>
      <c r="N86" s="91">
        <f t="array" ref="N86">+MAX(IF(RANGOS.SECT=$A86,SERVI.REV))</f>
        <v>7.3459715639810422E-2</v>
      </c>
      <c r="O86" s="89" t="str">
        <f t="array" ref="O86">IFERROR(INDEX(MUNICIP.SECT,SMALL(IF(MAX(IF(RANGOS.SECT=$A$86,SERVI.REV,""))=IF(RANGOS.SECT=$A$86,SERVI.REV,""),ROW(SERVI.REV)-MIN(ROW(SERVI.REV))+1,""),ROW()-85)),"")</f>
        <v>TREBUJENA</v>
      </c>
      <c r="P86" s="92">
        <f t="array" ref="P86">+MIN(IF(RANGOS.SECT=$A86,SERVI.REV))</f>
        <v>-5.6227327690447401E-2</v>
      </c>
      <c r="Q86" s="93" t="str">
        <f t="array" ref="Q86">IFERROR(INDEX(MUNICIP.SECT,SMALL(IF(MIN(IF(RANGOS.SECT=$A$86,SERVI.REV,""))=IF(RANGOS.SECT=$A$86,SERVI.REV,""),ROW(SERVI.REV)-MIN(ROW(SERVI.REV))+1,""),ROW()-85)),"")</f>
        <v>TARIFA</v>
      </c>
    </row>
    <row r="87" spans="1:18" ht="15" customHeight="1">
      <c r="A87" s="397"/>
      <c r="B87" s="49" t="str">
        <f t="shared" si="16"/>
        <v/>
      </c>
      <c r="C87" s="29" t="str">
        <f>IF($J$86&gt;0,K87,"")</f>
        <v/>
      </c>
      <c r="D87" s="52" t="str">
        <f t="shared" si="17"/>
        <v/>
      </c>
      <c r="E87" s="33" t="str">
        <f>IF($L$86&lt;0,M87,"")</f>
        <v/>
      </c>
      <c r="F87" s="29" t="str">
        <f t="shared" si="18"/>
        <v/>
      </c>
      <c r="G87" s="29" t="str">
        <f>IF($N$86&gt;0,O87,"")</f>
        <v/>
      </c>
      <c r="H87" s="62" t="str">
        <f t="shared" si="19"/>
        <v/>
      </c>
      <c r="I87" s="27" t="str">
        <f>IF($P$86&lt;0,Q87,"")</f>
        <v/>
      </c>
      <c r="J87" s="94"/>
      <c r="K87" s="89" t="str">
        <f t="array" ref="K87">IFERROR(INDEX(MUNICIP.SECT,SMALL(IF(MAX(IF(RANGOS.SECT=$A$86,SERVI.ABS,""))=IF(RANGOS.SECT=$A$86,SERVI.ABS,""),ROW(SERVI.ABS)-MIN(ROW(SERVI.ABS))+1,""),ROW()-85)),"")</f>
        <v/>
      </c>
      <c r="L87" s="94"/>
      <c r="M87" s="90" t="str">
        <f t="array" ref="M87">IFERROR(INDEX(MUNICIP.SECT,SMALL(IF(MIN(IF(RANGOS.SECT=$A$86,SERVI.ABS,""))=IF(RANGOS.SECT=$A$86,SERVI.ABS,""),ROW(SERVI.ABS)-MIN(ROW(SERVI.ABS))+1,""),ROW()-85)),"")</f>
        <v/>
      </c>
      <c r="N87" s="95"/>
      <c r="O87" s="89" t="str">
        <f t="array" ref="O87">IFERROR(INDEX(MUNICIP.SECT,SMALL(IF(MAX(IF(RANGOS.SECT=$A$86,SERVI.REV,""))=IF(RANGOS.SECT=$A$86,SERVI.REV,""),ROW(SERVI.REV)-MIN(ROW(SERVI.REV))+1,""),ROW()-85)),"")</f>
        <v/>
      </c>
      <c r="P87" s="101"/>
      <c r="Q87" s="93" t="str">
        <f t="array" ref="Q87">IFERROR(INDEX(MUNICIP.SECT,SMALL(IF(MIN(IF(RANGOS.SECT=$A$86,SERVI.REV,""))=IF(RANGOS.SECT=$A$86,SERVI.REV,""),ROW(SERVI.REV)-MIN(ROW(SERVI.REV))+1,""),ROW()-85)),"")</f>
        <v/>
      </c>
    </row>
    <row r="88" spans="1:18" ht="15" customHeight="1">
      <c r="A88" s="397"/>
      <c r="B88" s="50" t="str">
        <f t="shared" si="16"/>
        <v/>
      </c>
      <c r="C88" s="45" t="str">
        <f>IF($J$86&gt;0,K88,"")</f>
        <v/>
      </c>
      <c r="D88" s="61" t="str">
        <f t="shared" si="17"/>
        <v/>
      </c>
      <c r="E88" s="35" t="str">
        <f>IF($L$86&lt;0,M88,"")</f>
        <v/>
      </c>
      <c r="F88" s="45" t="str">
        <f t="shared" si="18"/>
        <v/>
      </c>
      <c r="G88" s="45" t="str">
        <f>IF($N$86&gt;0,O88,"")</f>
        <v/>
      </c>
      <c r="H88" s="65" t="str">
        <f t="shared" si="19"/>
        <v/>
      </c>
      <c r="I88" s="40" t="str">
        <f>IF($P$86&lt;0,Q88,"")</f>
        <v/>
      </c>
      <c r="J88" s="98"/>
      <c r="K88" s="89" t="str">
        <f t="array" ref="K88">IFERROR(INDEX(MUNICIP.SECT,SMALL(IF(MAX(IF(RANGOS.SECT=$A$86,SERVI.ABS,""))=IF(RANGOS.SECT=$A$86,SERVI.ABS,""),ROW(SERVI.ABS)-MIN(ROW(SERVI.ABS))+1,""),ROW()-85)),"")</f>
        <v/>
      </c>
      <c r="L88" s="98"/>
      <c r="M88" s="90" t="str">
        <f t="array" ref="M88">IFERROR(INDEX(MUNICIP.SECT,SMALL(IF(MIN(IF(RANGOS.SECT=$A$86,SERVI.ABS,""))=IF(RANGOS.SECT=$A$86,SERVI.ABS,""),ROW(SERVI.ABS)-MIN(ROW(SERVI.ABS))+1,""),ROW()-85)),"")</f>
        <v/>
      </c>
      <c r="N88" s="99"/>
      <c r="O88" s="89" t="str">
        <f t="array" ref="O88">IFERROR(INDEX(MUNICIP.SECT,SMALL(IF(MAX(IF(RANGOS.SECT=$A$86,SERVI.REV,""))=IF(RANGOS.SECT=$A$86,SERVI.REV,""),ROW(SERVI.REV)-MIN(ROW(SERVI.REV))+1,""),ROW()-85)),"")</f>
        <v/>
      </c>
      <c r="P88" s="115"/>
      <c r="Q88" s="93" t="str">
        <f t="array" ref="Q88">IFERROR(INDEX(MUNICIP.SECT,SMALL(IF(MIN(IF(RANGOS.SECT=$A$86,SERVI.REV,""))=IF(RANGOS.SECT=$A$86,SERVI.REV,""),ROW(SERVI.REV)-MIN(ROW(SERVI.REV))+1,""),ROW()-85)),"")</f>
        <v/>
      </c>
    </row>
    <row r="89" spans="1:18" ht="15" customHeight="1">
      <c r="A89" s="395" t="s">
        <v>56</v>
      </c>
      <c r="B89" s="49">
        <f t="shared" si="16"/>
        <v>61</v>
      </c>
      <c r="C89" s="29" t="str">
        <f>IF($J$89&gt;0,K89,"NO SUBE EN ESTE RANGO")</f>
        <v xml:space="preserve">CADIZ </v>
      </c>
      <c r="D89" s="52">
        <f>+IF(L89&lt;0,L89,"")</f>
        <v>-173</v>
      </c>
      <c r="E89" s="33" t="str">
        <f>IF($L$89&lt;0,M89,"NO BAJA EN ESTE RANGO")</f>
        <v>BARBATE</v>
      </c>
      <c r="F89" s="55">
        <f t="shared" si="18"/>
        <v>1.3994169096209912E-2</v>
      </c>
      <c r="G89" s="29" t="str">
        <f>IF($N$89&gt;0,O89,"NO SUBE EN ESTE RANGO")</f>
        <v>PUERTO REAL</v>
      </c>
      <c r="H89" s="62">
        <f t="shared" si="19"/>
        <v>-5.8347386172006743E-2</v>
      </c>
      <c r="I89" s="27" t="str">
        <f>IF($P$89&lt;0,Q89,"NO BAJA EN ESTE RANGO")</f>
        <v>BARBATE</v>
      </c>
      <c r="J89" s="94">
        <f t="array" ref="J89">+MAX(IF(RANGOS.SECT=$A89,SERVI.ABS))</f>
        <v>61</v>
      </c>
      <c r="K89" s="95" t="str">
        <f t="array" ref="K89">IFERROR(INDEX(MUNICIP.SECT,SMALL(IF(MAX(IF(RANGOS.SECT=$A$89,SERVI.ABS,""))=IF(RANGOS.SECT=$A$89,SERVI.ABS,""),ROW(SERVI.ABS)-MIN(ROW(SERVI.ABS))+1,""),ROW()-88)),"")</f>
        <v xml:space="preserve">CADIZ </v>
      </c>
      <c r="L89" s="94">
        <f t="array" ref="L89">MIN(IF(RANGOS.SECT=$A89,SERVI.ABS))</f>
        <v>-173</v>
      </c>
      <c r="M89" s="96" t="str">
        <f t="array" ref="M89">IFERROR(INDEX(MUNICIP.SECT,SMALL(IF(MIN(IF(RANGOS.SECT=$A$89,SERVI.ABS,""))=IF(RANGOS.SECT=$A$89,SERVI.ABS,""),ROW(SERVI.ABS)-MIN(ROW(SERVI.ABS))+1,""),ROW()-88)),"")</f>
        <v>BARBATE</v>
      </c>
      <c r="N89" s="100">
        <f t="array" ref="N89">+MAX(IF(RANGOS.SECT=$A89,SERVI.REV))</f>
        <v>1.3994169096209912E-2</v>
      </c>
      <c r="O89" s="95" t="str">
        <f t="array" ref="O89">IFERROR(INDEX(MUNICIP.SECT,SMALL(IF(MAX(IF(RANGOS.SECT=$A$89,SERVI.REV,""))=IF(RANGOS.SECT=$A$89,SERVI.REV,""),ROW(SERVI.REV)-MIN(ROW(SERVI.REV))+1,""),ROW()-88)),"")</f>
        <v>PUERTO REAL</v>
      </c>
      <c r="P89" s="101">
        <f t="array" ref="P89">+MIN(IF(RANGOS.SECT=$A89,SERVI.REV))</f>
        <v>-5.8347386172006743E-2</v>
      </c>
      <c r="Q89" s="97" t="str">
        <f t="array" ref="Q89">IFERROR(INDEX(MUNICIP.SECT,SMALL(IF(MIN(IF(RANGOS.SECT=$A$89,SERVI.REV,""))=IF(RANGOS.SECT=$A$89,SERVI.REV,""),ROW(SERVI.REV)-MIN(ROW(SERVI.REV))+1,""),ROW()-88)),"")</f>
        <v>BARBATE</v>
      </c>
      <c r="R89" s="118"/>
    </row>
    <row r="90" spans="1:18" ht="15" customHeight="1">
      <c r="A90" s="395"/>
      <c r="B90" s="49" t="str">
        <f t="shared" si="16"/>
        <v/>
      </c>
      <c r="C90" s="29" t="str">
        <f>IF($J$89&gt;0,K90,"")</f>
        <v/>
      </c>
      <c r="D90" s="52" t="str">
        <f t="shared" si="17"/>
        <v/>
      </c>
      <c r="E90" s="33" t="str">
        <f>IF($L$89&lt;0,M90,"")</f>
        <v/>
      </c>
      <c r="F90" s="29" t="str">
        <f t="shared" si="18"/>
        <v/>
      </c>
      <c r="G90" s="29" t="str">
        <f>IF($N$89&gt;0,O90,"")</f>
        <v/>
      </c>
      <c r="H90" s="62" t="str">
        <f t="shared" si="19"/>
        <v/>
      </c>
      <c r="I90" s="27" t="str">
        <f>IF($P$89&lt;0,Q90,"")</f>
        <v/>
      </c>
      <c r="J90" s="94"/>
      <c r="K90" s="95" t="str">
        <f t="array" ref="K90">IFERROR(INDEX(MUNICIP.SECT,SMALL(IF(MAX(IF(RANGOS.SECT=$A$89,SERVI.ABS,""))=IF(RANGOS.SECT=$A$89,SERVI.ABS,""),ROW(SERVI.ABS)-MIN(ROW(SERVI.ABS))+1,""),ROW()-88)),"")</f>
        <v/>
      </c>
      <c r="L90" s="94"/>
      <c r="M90" s="96" t="str">
        <f t="array" ref="M90">IFERROR(INDEX(MUNICIP.SECT,SMALL(IF(MIN(IF(RANGOS.SECT=$A$89,SERVI.ABS,""))=IF(RANGOS.SECT=$A$89,SERVI.ABS,""),ROW(SERVI.ABS)-MIN(ROW(SERVI.ABS))+1,""),ROW()-88)),"")</f>
        <v/>
      </c>
      <c r="N90" s="95"/>
      <c r="O90" s="95" t="str">
        <f t="array" ref="O90">IFERROR(INDEX(MUNICIP.SECT,SMALL(IF(MAX(IF(RANGOS.SECT=$A$89,SERVI.REV,""))=IF(RANGOS.SECT=$A$89,SERVI.REV,""),ROW(SERVI.REV)-MIN(ROW(SERVI.REV))+1,""),ROW()-88)),"")</f>
        <v/>
      </c>
      <c r="P90" s="101"/>
      <c r="Q90" s="97" t="str">
        <f t="array" ref="Q90">IFERROR(INDEX(MUNICIP.SECT,SMALL(IF(MIN(IF(RANGOS.SECT=$A$89,SERVI.REV,""))=IF(RANGOS.SECT=$A$89,SERVI.REV,""),ROW(SERVI.REV)-MIN(ROW(SERVI.REV))+1,""),ROW()-88)),"")</f>
        <v/>
      </c>
    </row>
    <row r="91" spans="1:18" ht="15" customHeight="1">
      <c r="A91" s="395"/>
      <c r="B91" s="50" t="str">
        <f t="shared" si="16"/>
        <v/>
      </c>
      <c r="C91" s="45" t="str">
        <f>IF($J$89&gt;0,K91,"")</f>
        <v/>
      </c>
      <c r="D91" s="61" t="str">
        <f t="shared" si="17"/>
        <v/>
      </c>
      <c r="E91" s="35" t="str">
        <f>IF($L$89&lt;0,M91,"")</f>
        <v/>
      </c>
      <c r="F91" s="45" t="str">
        <f t="shared" si="18"/>
        <v/>
      </c>
      <c r="G91" s="45" t="str">
        <f>IF($N$89&gt;0,O91,"")</f>
        <v/>
      </c>
      <c r="H91" s="65" t="str">
        <f t="shared" si="19"/>
        <v/>
      </c>
      <c r="I91" s="40" t="str">
        <f>IF($P$89&lt;0,Q91,"")</f>
        <v/>
      </c>
      <c r="J91" s="98"/>
      <c r="K91" s="95" t="str">
        <f t="array" ref="K91">IFERROR(INDEX(MUNICIP.SECT,SMALL(IF(MAX(IF(RANGOS.SECT=$A$89,SERVI.ABS,""))=IF(RANGOS.SECT=$A$89,SERVI.ABS,""),ROW(SERVI.ABS)-MIN(ROW(SERVI.ABS))+1,""),ROW()-88)),"")</f>
        <v/>
      </c>
      <c r="L91" s="98"/>
      <c r="M91" s="96" t="str">
        <f t="array" ref="M91">IFERROR(INDEX(MUNICIP.SECT,SMALL(IF(MIN(IF(RANGOS.SECT=$A$89,SERVI.ABS,""))=IF(RANGOS.SECT=$A$89,SERVI.ABS,""),ROW(SERVI.ABS)-MIN(ROW(SERVI.ABS))+1,""),ROW()-88)),"")</f>
        <v/>
      </c>
      <c r="N91" s="99"/>
      <c r="O91" s="95" t="str">
        <f t="array" ref="O91">IFERROR(INDEX(MUNICIP.SECT,SMALL(IF(MAX(IF(RANGOS.SECT=$A$89,SERVI.REV,""))=IF(RANGOS.SECT=$A$89,SERVI.REV,""),ROW(SERVI.REV)-MIN(ROW(SERVI.REV))+1,""),ROW()-88)),"")</f>
        <v/>
      </c>
      <c r="P91" s="115"/>
      <c r="Q91" s="97" t="str">
        <f t="array" ref="Q91">IFERROR(INDEX(MUNICIP.SECT,SMALL(IF(MIN(IF(RANGOS.SECT=$A$89,SERVI.REV,""))=IF(RANGOS.SECT=$A$89,SERVI.REV,""),ROW(SERVI.REV)-MIN(ROW(SERVI.REV))+1,""),ROW()-88)),"")</f>
        <v/>
      </c>
    </row>
    <row r="92" spans="1:18" ht="16.5">
      <c r="A92" s="458" t="s">
        <v>76</v>
      </c>
      <c r="B92" s="456"/>
      <c r="C92" s="456"/>
      <c r="D92" s="456"/>
      <c r="E92" s="456"/>
      <c r="F92" s="456"/>
      <c r="G92" s="456"/>
      <c r="H92" s="456"/>
      <c r="I92" s="457"/>
      <c r="J92" s="9"/>
    </row>
    <row r="93" spans="1:18" ht="16.5">
      <c r="A93" s="76"/>
      <c r="B93" s="394" t="s">
        <v>82</v>
      </c>
      <c r="C93" s="392"/>
      <c r="D93" s="391" t="s">
        <v>83</v>
      </c>
      <c r="E93" s="392"/>
      <c r="F93" s="391" t="s">
        <v>82</v>
      </c>
      <c r="G93" s="392"/>
      <c r="H93" s="391" t="s">
        <v>83</v>
      </c>
      <c r="I93" s="393"/>
      <c r="J93" s="9"/>
    </row>
    <row r="94" spans="1:18" ht="15" customHeight="1">
      <c r="A94" s="399" t="s">
        <v>55</v>
      </c>
      <c r="B94" s="36">
        <f t="shared" ref="B94:B102" si="20">+IF(J94&gt;0,J94,"")</f>
        <v>6</v>
      </c>
      <c r="C94" s="44" t="str">
        <f>IF($J$94&gt;0,K94,"NO SUBE EN ESTE RANGO")</f>
        <v>ALGAR</v>
      </c>
      <c r="D94" s="36">
        <f t="shared" ref="D94:D102" si="21">+IF(L94&lt;0,L94,"")</f>
        <v>-4</v>
      </c>
      <c r="E94" s="31" t="str">
        <f>IF($L$94&lt;0,M94,"NO BAJA EN ESTE RANGO")</f>
        <v>SAN MARTÍN DEL TESORILLO</v>
      </c>
      <c r="F94" s="130">
        <f t="shared" ref="F94:F102" si="22">+IF(N94&gt;0,N94,"")</f>
        <v>1.3333333333333333</v>
      </c>
      <c r="G94" s="44" t="str">
        <f>IF($N$94&gt;0,O94,"NO SUBE EN ESTE RANGO")</f>
        <v>ZAHARA DE LA SIERRA</v>
      </c>
      <c r="H94" s="137">
        <f t="shared" ref="H94:H102" si="23">+IF(P94&lt;0,P94,"")</f>
        <v>-0.22222222222222221</v>
      </c>
      <c r="I94" s="37" t="str">
        <f>IF($P$94&lt;0,Q94,"NO BAJA EN ESTE RANGO")</f>
        <v>GRAZALEMA</v>
      </c>
      <c r="J94" s="88">
        <f t="array" ref="J94">+MAX(IF(RANGOS.SECT=$A94,SEA.ABS))</f>
        <v>6</v>
      </c>
      <c r="K94" s="89" t="str">
        <f t="array" ref="K94">IFERROR(INDEX(MUNICIP.SECT,SMALL(IF(MAX(IF(RANGOS.SECT=$A$94,SEA.ABS,""))=IF(RANGOS.SECT=$A$94,SEA.ABS,""),ROW(SEA.ABS)-MIN(ROW(SEA.ABS))+1,""),ROW()-93)),"")</f>
        <v>ALGAR</v>
      </c>
      <c r="L94" s="88">
        <f t="array" ref="L94">+MIN(IF(RANGOS.SECT=$A94,SEA.ABS))</f>
        <v>-4</v>
      </c>
      <c r="M94" s="90" t="str">
        <f t="array" ref="M94">IFERROR(INDEX(MUNICIP.SECT,SMALL(IF(MIN(IF(RANGOS.SECT=$A$94,SEA.ABS,""))=IF(RANGOS.SECT=$A$94,SEA.ABS,""),ROW(SEA.ABS)-MIN(ROW(SEA.ABS))+1,""),ROW()-93)),"")</f>
        <v>SAN MARTÍN DEL TESORILLO</v>
      </c>
      <c r="N94" s="91">
        <f t="array" ref="N94">+MAX(IF(RANGOS.SECT=$A94,SEA.REV))</f>
        <v>1.3333333333333333</v>
      </c>
      <c r="O94" s="89" t="str">
        <f t="array" ref="O94">IFERROR(INDEX(MUNICIP.SECT,SMALL(IF(MAX(IF(RANGOS.SECT=$A$94,SEA.REV,""))=IF(RANGOS.SECT=$A$94,SEA.REV,""),ROW(SEA.REV)-MIN(ROW(SEA.REV))+1,""),ROW()-93)),"")</f>
        <v>ZAHARA DE LA SIERRA</v>
      </c>
      <c r="P94" s="92">
        <f t="array" ref="P94">+MIN(IF(RANGOS.SECT=$A94,SEA.REV))</f>
        <v>-0.22222222222222221</v>
      </c>
      <c r="Q94" s="93" t="str">
        <f t="array" ref="Q94">IFERROR(INDEX(MUNICIP.SECT,SMALL(IF(MIN(IF(RANGOS.SECT=$A$94,SEA.REV,""))=IF(RANGOS.SECT=$A$94,SEA.REV,""),ROW(SEA.REV)-MIN(ROW(SEA.REV))+1,""),ROW()-93)),"")</f>
        <v>GRAZALEMA</v>
      </c>
    </row>
    <row r="95" spans="1:18" ht="15" customHeight="1">
      <c r="A95" s="399"/>
      <c r="B95" s="49" t="str">
        <f t="shared" si="20"/>
        <v/>
      </c>
      <c r="C95" s="29" t="str">
        <f>IF($J$94&gt;0,K95,"")</f>
        <v>CASTELLAR DE LA FRONTERA</v>
      </c>
      <c r="D95" s="52" t="str">
        <f t="shared" si="21"/>
        <v/>
      </c>
      <c r="E95" s="33" t="str">
        <f>IF($L$94&lt;0,M95,"")</f>
        <v/>
      </c>
      <c r="F95" s="29" t="str">
        <f t="shared" si="22"/>
        <v/>
      </c>
      <c r="G95" s="29" t="str">
        <f>IF($N$94&gt;0,O95,"")</f>
        <v/>
      </c>
      <c r="H95" s="52" t="str">
        <f t="shared" si="23"/>
        <v/>
      </c>
      <c r="I95" s="27" t="str">
        <f>IF($P$94&lt;0,Q95,"")</f>
        <v/>
      </c>
      <c r="J95" s="94"/>
      <c r="K95" s="89" t="str">
        <f t="array" ref="K95">IFERROR(INDEX(MUNICIP.SECT,SMALL(IF(MAX(IF(RANGOS.SECT=$A$94,SEA.ABS,""))=IF(RANGOS.SECT=$A$94,SEA.ABS,""),ROW(SEA.ABS)-MIN(ROW(SEA.ABS))+1,""),ROW()-93)),"")</f>
        <v>CASTELLAR DE LA FRONTERA</v>
      </c>
      <c r="L95" s="94"/>
      <c r="M95" s="90" t="str">
        <f t="array" ref="M95">IFERROR(INDEX(MUNICIP.SECT,SMALL(IF(MIN(IF(RANGOS.SECT=$A$94,SEA.ABS,""))=IF(RANGOS.SECT=$A$94,SEA.ABS,""),ROW(SEA.ABS)-MIN(ROW(SEA.ABS))+1,""),ROW()-93)),"")</f>
        <v/>
      </c>
      <c r="N95" s="95"/>
      <c r="O95" s="89" t="str">
        <f t="array" ref="O95">IFERROR(INDEX(MUNICIP.SECT,SMALL(IF(MAX(IF(RANGOS.SECT=$A$94,SEA.REV,""))=IF(RANGOS.SECT=$A$94,SEA.REV,""),ROW(SEA.REV)-MIN(ROW(SEA.REV))+1,""),ROW()-93)),"")</f>
        <v/>
      </c>
      <c r="P95" s="94"/>
      <c r="Q95" s="93" t="str">
        <f t="array" ref="Q95">IFERROR(INDEX(MUNICIP.SECT,SMALL(IF(MIN(IF(RANGOS.SECT=$A$94,SEA.REV,""))=IF(RANGOS.SECT=$A$94,SEA.REV,""),ROW(SEA.REV)-MIN(ROW(SEA.REV))+1,""),ROW()-93)),"")</f>
        <v/>
      </c>
    </row>
    <row r="96" spans="1:18" ht="15" customHeight="1">
      <c r="A96" s="399"/>
      <c r="B96" s="49" t="str">
        <f t="shared" si="20"/>
        <v/>
      </c>
      <c r="C96" s="29" t="str">
        <f>IF($J$94&gt;0,K96,"")</f>
        <v>SAN JOSÉ DEL VALLE</v>
      </c>
      <c r="D96" s="52" t="str">
        <f t="shared" si="21"/>
        <v/>
      </c>
      <c r="E96" s="33" t="str">
        <f>IF($L$94&lt;0,M96,"")</f>
        <v/>
      </c>
      <c r="F96" s="29" t="str">
        <f t="shared" si="22"/>
        <v/>
      </c>
      <c r="G96" s="29" t="str">
        <f>IF($N$94&gt;0,O96,"")</f>
        <v/>
      </c>
      <c r="H96" s="52" t="str">
        <f t="shared" si="23"/>
        <v/>
      </c>
      <c r="I96" s="27" t="str">
        <f>IF($P$94&lt;0,Q96,"")</f>
        <v/>
      </c>
      <c r="J96" s="94"/>
      <c r="K96" s="89" t="str">
        <f t="array" ref="K96">IFERROR(INDEX(MUNICIP.SECT,SMALL(IF(MAX(IF(RANGOS.SECT=$A$94,SEA.ABS,""))=IF(RANGOS.SECT=$A$94,SEA.ABS,""),ROW(SEA.ABS)-MIN(ROW(SEA.ABS))+1,""),ROW()-93)),"")</f>
        <v>SAN JOSÉ DEL VALLE</v>
      </c>
      <c r="L96" s="94"/>
      <c r="M96" s="90" t="str">
        <f t="array" ref="M96">IFERROR(INDEX(MUNICIP.SECT,SMALL(IF(MIN(IF(RANGOS.SECT=$A$94,SEA.ABS,""))=IF(RANGOS.SECT=$A$94,SEA.ABS,""),ROW(SEA.ABS)-MIN(ROW(SEA.ABS))+1,""),ROW()-93)),"")</f>
        <v/>
      </c>
      <c r="N96" s="95"/>
      <c r="O96" s="89" t="str">
        <f t="array" ref="O96">IFERROR(INDEX(MUNICIP.SECT,SMALL(IF(MAX(IF(RANGOS.SECT=$A$94,SEA.REV,""))=IF(RANGOS.SECT=$A$94,SEA.REV,""),ROW(SEA.REV)-MIN(ROW(SEA.REV))+1,""),ROW()-93)),"")</f>
        <v/>
      </c>
      <c r="P96" s="94"/>
      <c r="Q96" s="93" t="str">
        <f t="array" ref="Q96">IFERROR(INDEX(MUNICIP.SECT,SMALL(IF(MIN(IF(RANGOS.SECT=$A$94,SEA.REV,""))=IF(RANGOS.SECT=$A$94,SEA.REV,""),ROW(SEA.REV)-MIN(ROW(SEA.REV))+1,""),ROW()-93)),"")</f>
        <v/>
      </c>
    </row>
    <row r="97" spans="1:17" ht="15" customHeight="1">
      <c r="A97" s="397" t="s">
        <v>54</v>
      </c>
      <c r="B97" s="36">
        <f t="shared" si="20"/>
        <v>5</v>
      </c>
      <c r="C97" s="44" t="str">
        <f>IF($J$97&gt;0,K97,"NO SUBE EN ESTE RANGO")</f>
        <v>JIMENA DE LA FRONTERA</v>
      </c>
      <c r="D97" s="51">
        <f t="shared" si="21"/>
        <v>-12</v>
      </c>
      <c r="E97" s="31" t="str">
        <f>IF($L$97&lt;0,M97,"NO BAJA EN ESTE RANGO")</f>
        <v>TARIFA</v>
      </c>
      <c r="F97" s="63">
        <f t="shared" si="22"/>
        <v>8.8235294117647065E-2</v>
      </c>
      <c r="G97" s="44" t="str">
        <f>IF($N$97&gt;0,O97,"NO SUBE EN ESTE RANGO")</f>
        <v xml:space="preserve">ALGODONALES </v>
      </c>
      <c r="H97" s="60">
        <f t="shared" si="23"/>
        <v>-0.10169491525423729</v>
      </c>
      <c r="I97" s="37" t="str">
        <f>IF($P$97&lt;0,Q97,"NO BAJA EN ESTE RANGO")</f>
        <v>TARIFA</v>
      </c>
      <c r="J97" s="88">
        <f t="array" ref="J97">+MAX(IF(RANGOS.SECT=$A97,SEA.ABS))</f>
        <v>5</v>
      </c>
      <c r="K97" s="89" t="str">
        <f t="array" ref="K97">IFERROR(INDEX(MUNICIP.SECT,SMALL(IF(MAX(IF(RANGOS.SECT=$A$97,SEA.ABS,""))=IF(RANGOS.SECT=$A$97,SEA.ABS,""),ROW(SEA.ABS)-MIN(ROW(SEA.ABS))+1,""),ROW()-96)),"")</f>
        <v>JIMENA DE LA FRONTERA</v>
      </c>
      <c r="L97" s="88">
        <f t="array" ref="L97">+MIN(IF(RANGOS.SECT=$A97,SEA.ABS))</f>
        <v>-12</v>
      </c>
      <c r="M97" s="90" t="str">
        <f t="array" ref="M97">IFERROR(INDEX(MUNICIP.SECT,SMALL(IF(MIN(IF(RANGOS.SECT=$A$97,SEA.ABS,""))=IF(RANGOS.SECT=$A$97,SEA.ABS,""),ROW(SEA.ABS)-MIN(ROW(SEA.ABS))+1,""),ROW()-96)),"")</f>
        <v>TARIFA</v>
      </c>
      <c r="N97" s="91">
        <f t="array" ref="N97">+MAX(IF(RANGOS.SECT=$A97,SEA.REV))</f>
        <v>8.8235294117647065E-2</v>
      </c>
      <c r="O97" s="89" t="str">
        <f t="array" ref="O97">IFERROR(INDEX(MUNICIP.SECT,SMALL(IF(MAX(IF(RANGOS.SECT=$A$97,SEA.REV,""))=IF(RANGOS.SECT=$A$97,SEA.REV,""),ROW(SEA.REV)-MIN(ROW(SEA.REV))+1,""),ROW()-96)),"")</f>
        <v xml:space="preserve">ALGODONALES </v>
      </c>
      <c r="P97" s="92">
        <f t="array" ref="P97">+MIN(IF(RANGOS.SECT=$A97,SEA.REV))</f>
        <v>-0.10169491525423729</v>
      </c>
      <c r="Q97" s="93" t="str">
        <f t="array" ref="Q97">IFERROR(INDEX(MUNICIP.SECT,SMALL(IF(MIN(IF(RANGOS.SECT=$A$97,SEA.REV,""))=IF(RANGOS.SECT=$A$97,SEA.REV,""),ROW(SEA.REV)-MIN(ROW(SEA.REV))+1,""),ROW()-96)),"")</f>
        <v>TARIFA</v>
      </c>
    </row>
    <row r="98" spans="1:17" ht="15" customHeight="1">
      <c r="A98" s="397"/>
      <c r="B98" s="49" t="str">
        <f t="shared" si="20"/>
        <v/>
      </c>
      <c r="C98" s="29" t="str">
        <f>IF($J$97&gt;0,K98,"")</f>
        <v>VEJER DE LA FRONTERA</v>
      </c>
      <c r="D98" s="52" t="str">
        <f t="shared" si="21"/>
        <v/>
      </c>
      <c r="E98" s="33" t="str">
        <f>IF($L$97&lt;0,M98,"")</f>
        <v/>
      </c>
      <c r="F98" s="29" t="str">
        <f t="shared" si="22"/>
        <v/>
      </c>
      <c r="G98" s="29" t="str">
        <f>IF($N$97&gt;0,O98,"")</f>
        <v/>
      </c>
      <c r="H98" s="52" t="str">
        <f t="shared" si="23"/>
        <v/>
      </c>
      <c r="I98" s="27" t="str">
        <f>IF($P$97&lt;0,Q98,"")</f>
        <v/>
      </c>
      <c r="J98" s="94"/>
      <c r="K98" s="89" t="str">
        <f t="array" ref="K98">IFERROR(INDEX(MUNICIP.SECT,SMALL(IF(MAX(IF(RANGOS.SECT=$A$97,SEA.ABS,""))=IF(RANGOS.SECT=$A$97,SEA.ABS,""),ROW(SEA.ABS)-MIN(ROW(SEA.ABS))+1,""),ROW()-96)),"")</f>
        <v>VEJER DE LA FRONTERA</v>
      </c>
      <c r="L98" s="94"/>
      <c r="M98" s="90" t="str">
        <f t="array" ref="M98">IFERROR(INDEX(MUNICIP.SECT,SMALL(IF(MIN(IF(RANGOS.SECT=$A$97,SEA.ABS,""))=IF(RANGOS.SECT=$A$97,SEA.ABS,""),ROW(SEA.ABS)-MIN(ROW(SEA.ABS))+1,""),ROW()-96)),"")</f>
        <v/>
      </c>
      <c r="N98" s="95"/>
      <c r="O98" s="89" t="str">
        <f t="array" ref="O98">IFERROR(INDEX(MUNICIP.SECT,SMALL(IF(MAX(IF(RANGOS.SECT=$A$97,SEA.REV,""))=IF(RANGOS.SECT=$A$97,SEA.REV,""),ROW(SEA.REV)-MIN(ROW(SEA.REV))+1,""),ROW()-96)),"")</f>
        <v/>
      </c>
      <c r="P98" s="94"/>
      <c r="Q98" s="93" t="str">
        <f t="array" ref="Q98">IFERROR(INDEX(MUNICIP.SECT,SMALL(IF(MIN(IF(RANGOS.SECT=$A$97,SEA.REV,""))=IF(RANGOS.SECT=$A$97,SEA.REV,""),ROW(SEA.REV)-MIN(ROW(SEA.REV))+1,""),ROW()-96)),"")</f>
        <v/>
      </c>
    </row>
    <row r="99" spans="1:17" ht="15" customHeight="1">
      <c r="A99" s="397"/>
      <c r="B99" s="50" t="str">
        <f t="shared" si="20"/>
        <v/>
      </c>
      <c r="C99" s="45" t="str">
        <f>IF($J$97&gt;0,K99,"")</f>
        <v/>
      </c>
      <c r="D99" s="61" t="str">
        <f t="shared" si="21"/>
        <v/>
      </c>
      <c r="E99" s="35" t="str">
        <f>IF($L$97&lt;0,M99,"")</f>
        <v/>
      </c>
      <c r="F99" s="45" t="str">
        <f t="shared" si="22"/>
        <v/>
      </c>
      <c r="G99" s="45" t="str">
        <f>IF($N$97&gt;0,O99,"")</f>
        <v/>
      </c>
      <c r="H99" s="61" t="str">
        <f t="shared" si="23"/>
        <v/>
      </c>
      <c r="I99" s="40" t="str">
        <f>IF($P$97&lt;0,Q99,"")</f>
        <v/>
      </c>
      <c r="J99" s="98"/>
      <c r="K99" s="89" t="str">
        <f t="array" ref="K99">IFERROR(INDEX(MUNICIP.SECT,SMALL(IF(MAX(IF(RANGOS.SECT=$A$97,SEA.ABS,""))=IF(RANGOS.SECT=$A$97,SEA.ABS,""),ROW(SEA.ABS)-MIN(ROW(SEA.ABS))+1,""),ROW()-96)),"")</f>
        <v/>
      </c>
      <c r="L99" s="98"/>
      <c r="M99" s="90" t="str">
        <f t="array" ref="M99">IFERROR(INDEX(MUNICIP.SECT,SMALL(IF(MIN(IF(RANGOS.SECT=$A$97,SEA.ABS,""))=IF(RANGOS.SECT=$A$97,SEA.ABS,""),ROW(SEA.ABS)-MIN(ROW(SEA.ABS))+1,""),ROW()-96)),"")</f>
        <v/>
      </c>
      <c r="N99" s="99"/>
      <c r="O99" s="89" t="str">
        <f t="array" ref="O99">IFERROR(INDEX(MUNICIP.SECT,SMALL(IF(MAX(IF(RANGOS.SECT=$A$97,SEA.REV,""))=IF(RANGOS.SECT=$A$97,SEA.REV,""),ROW(SEA.REV)-MIN(ROW(SEA.REV))+1,""),ROW()-96)),"")</f>
        <v/>
      </c>
      <c r="P99" s="98"/>
      <c r="Q99" s="93" t="str">
        <f t="array" ref="Q99">IFERROR(INDEX(MUNICIP.SECT,SMALL(IF(MIN(IF(RANGOS.SECT=$A$97,SEA.REV,""))=IF(RANGOS.SECT=$A$97,SEA.REV,""),ROW(SEA.REV)-MIN(ROW(SEA.REV))+1,""),ROW()-96)),"")</f>
        <v/>
      </c>
    </row>
    <row r="100" spans="1:17" ht="15" customHeight="1">
      <c r="A100" s="395" t="s">
        <v>56</v>
      </c>
      <c r="B100" s="49">
        <f t="shared" si="20"/>
        <v>83</v>
      </c>
      <c r="C100" s="29" t="str">
        <f>IF($J$100&gt;0,K100,"NO SUBE EN ESTE RANGO")</f>
        <v xml:space="preserve">CADIZ </v>
      </c>
      <c r="D100" s="52">
        <f t="shared" si="21"/>
        <v>-25</v>
      </c>
      <c r="E100" s="33" t="str">
        <f>IF($L$100&lt;0,M100,"NO BAJA EN ESTE RANGO")</f>
        <v>SANLÚCAR DE BARRAMEDA</v>
      </c>
      <c r="F100" s="55">
        <f t="shared" si="22"/>
        <v>6.1209439528023601E-2</v>
      </c>
      <c r="G100" s="29" t="str">
        <f>IF($N$100&gt;0,O100,"NO SUBE EN ESTE RANGO")</f>
        <v xml:space="preserve">CADIZ </v>
      </c>
      <c r="H100" s="62">
        <f t="shared" si="23"/>
        <v>-3.8356164383561646E-2</v>
      </c>
      <c r="I100" s="27" t="str">
        <f>IF($P$100&lt;0,Q100,"NO BAJA EN ESTE RANGO")</f>
        <v>BARBATE</v>
      </c>
      <c r="J100" s="94">
        <f t="array" ref="J100">+MAX(IF(RANGOS.SECT=$A100,SEA.ABS))</f>
        <v>83</v>
      </c>
      <c r="K100" s="95" t="str">
        <f t="array" ref="K100">IFERROR(INDEX(MUNICIP.SECT,SMALL(IF(MAX(IF(RANGOS.SECT=$A$100,SEA.ABS,""))=IF(RANGOS.SECT=$A$100,SEA.ABS,""),ROW(SEA.ABS)-MIN(ROW(SEA.ABS))+1,""),ROW()-99)),"")</f>
        <v xml:space="preserve">CADIZ </v>
      </c>
      <c r="L100" s="94">
        <f t="array" ref="L100">+MIN(IF(RANGOS.SECT=$A100,SEA.ABS))</f>
        <v>-25</v>
      </c>
      <c r="M100" s="96" t="str">
        <f t="array" ref="M100">IFERROR(INDEX(MUNICIP.SECT,SMALL(IF(MIN(IF(RANGOS.SECT=$A$100,SEA.ABS,""))=IF(RANGOS.SECT=$A$100,SEA.ABS,""),ROW(SEA.ABS)-MIN(ROW(SEA.ABS))+1,""),ROW()-99)),"")</f>
        <v>SANLÚCAR DE BARRAMEDA</v>
      </c>
      <c r="N100" s="100">
        <f t="array" ref="N100">+MAX(IF(RANGOS.SECT=$A100,SEA.REV))</f>
        <v>6.1209439528023601E-2</v>
      </c>
      <c r="O100" s="95" t="str">
        <f t="array" ref="O100">IFERROR(INDEX(MUNICIP.SECT,SMALL(IF(MAX(IF(RANGOS.SECT=$A$100,SEA.REV,""))=IF(RANGOS.SECT=$A$100,SEA.REV,""),ROW(SEA.REV)-MIN(ROW(SEA.REV))+1,""),ROW()-99)),"")</f>
        <v xml:space="preserve">CADIZ </v>
      </c>
      <c r="P100" s="101">
        <f t="array" ref="P100">+MIN(IF(RANGOS.SECT=$A100,SEA.REV))</f>
        <v>-3.8356164383561646E-2</v>
      </c>
      <c r="Q100" s="97" t="str">
        <f t="array" ref="Q100">IFERROR(INDEX(MUNICIP.SECT,SMALL(IF(MIN(IF(RANGOS.SECT=$A$100,SEA.REV,""))=IF(RANGOS.SECT=$A$100,SEA.REV,""),ROW(SEA.REV)-MIN(ROW(SEA.REV))+1,""),ROW()-99)),"")</f>
        <v>BARBATE</v>
      </c>
    </row>
    <row r="101" spans="1:17" ht="15" customHeight="1">
      <c r="A101" s="395"/>
      <c r="B101" s="49" t="str">
        <f t="shared" si="20"/>
        <v/>
      </c>
      <c r="C101" s="29" t="str">
        <f>IF($J$100&gt;0,K101,"")</f>
        <v/>
      </c>
      <c r="D101" s="52" t="str">
        <f t="shared" si="21"/>
        <v/>
      </c>
      <c r="E101" s="33" t="str">
        <f>IF($L$100&lt;0,M101,"")</f>
        <v/>
      </c>
      <c r="F101" s="29" t="str">
        <f t="shared" si="22"/>
        <v/>
      </c>
      <c r="G101" s="29" t="str">
        <f>IF($N$100&gt;0,O101,"")</f>
        <v/>
      </c>
      <c r="H101" s="52" t="str">
        <f t="shared" si="23"/>
        <v/>
      </c>
      <c r="I101" s="27" t="str">
        <f>IF($P$100&lt;0,Q101,"")</f>
        <v/>
      </c>
      <c r="J101" s="94"/>
      <c r="K101" s="95" t="str">
        <f t="array" ref="K101">IFERROR(INDEX(MUNICIP.SECT,SMALL(IF(MAX(IF(RANGOS.SECT=$A$100,SEA.ABS,""))=IF(RANGOS.SECT=$A$100,SEA.ABS,""),ROW(SEA.ABS)-MIN(ROW(SEA.ABS))+1,""),ROW()-99)),"")</f>
        <v/>
      </c>
      <c r="L101" s="94"/>
      <c r="M101" s="96" t="str">
        <f t="array" ref="M101">IFERROR(INDEX(MUNICIP.SECT,SMALL(IF(MIN(IF(RANGOS.SECT=$A$100,SEA.ABS,""))=IF(RANGOS.SECT=$A$100,SEA.ABS,""),ROW(SEA.ABS)-MIN(ROW(SEA.ABS))+1,""),ROW()-99)),"")</f>
        <v/>
      </c>
      <c r="N101" s="95"/>
      <c r="O101" s="95" t="str">
        <f t="array" ref="O101">IFERROR(INDEX(MUNICIP.SECT,SMALL(IF(MAX(IF(RANGOS.SECT=$A$100,SEA.REV,""))=IF(RANGOS.SECT=$A$100,SEA.REV,""),ROW(SEA.REV)-MIN(ROW(SEA.REV))+1,""),ROW()-99)),"")</f>
        <v/>
      </c>
      <c r="P101" s="94"/>
      <c r="Q101" s="97" t="str">
        <f t="array" ref="Q101">IFERROR(INDEX(MUNICIP.SECT,SMALL(IF(MIN(IF(RANGOS.SECT=$A$100,SEA.REV,""))=IF(RANGOS.SECT=$A$100,SEA.REV,""),ROW(SEA.REV)-MIN(ROW(SEA.REV))+1,""),ROW()-99)),"")</f>
        <v/>
      </c>
    </row>
    <row r="102" spans="1:17" ht="15" customHeight="1" thickBot="1">
      <c r="A102" s="396"/>
      <c r="B102" s="54" t="str">
        <f t="shared" si="20"/>
        <v/>
      </c>
      <c r="C102" s="41" t="str">
        <f>IF($J$100&gt;0,K102,"")</f>
        <v/>
      </c>
      <c r="D102" s="53" t="str">
        <f t="shared" si="21"/>
        <v/>
      </c>
      <c r="E102" s="43" t="str">
        <f>IF($L$100&lt;0,M102,"")</f>
        <v/>
      </c>
      <c r="F102" s="41" t="str">
        <f t="shared" si="22"/>
        <v/>
      </c>
      <c r="G102" s="41" t="str">
        <f>IF($N$100&gt;0,O102,"")</f>
        <v/>
      </c>
      <c r="H102" s="53" t="str">
        <f t="shared" si="23"/>
        <v/>
      </c>
      <c r="I102" s="28" t="str">
        <f>IF($P$100&lt;0,Q102,"")</f>
        <v/>
      </c>
      <c r="J102" s="102"/>
      <c r="K102" s="95" t="str">
        <f t="array" ref="K102">IFERROR(INDEX(MUNICIP.SECT,SMALL(IF(MAX(IF(RANGOS.SECT=$A$100,SEA.ABS,""))=IF(RANGOS.SECT=$A$100,SEA.ABS,""),ROW(SEA.ABS)-MIN(ROW(SEA.ABS))+1,""),ROW()-99)),"")</f>
        <v/>
      </c>
      <c r="L102" s="102"/>
      <c r="M102" s="96" t="str">
        <f t="array" ref="M102">IFERROR(INDEX(MUNICIP.SECT,SMALL(IF(MIN(IF(RANGOS.SECT=$A$100,SEA.ABS,""))=IF(RANGOS.SECT=$A$100,SEA.ABS,""),ROW(SEA.ABS)-MIN(ROW(SEA.ABS))+1,""),ROW()-99)),"")</f>
        <v/>
      </c>
      <c r="N102" s="103"/>
      <c r="O102" s="95" t="str">
        <f t="array" ref="O102">IFERROR(INDEX(MUNICIP.SECT,SMALL(IF(MAX(IF(RANGOS.SECT=$A$100,SEA.REV,""))=IF(RANGOS.SECT=$A$100,SEA.REV,""),ROW(SEA.REV)-MIN(ROW(SEA.REV))+1,""),ROW()-99)),"")</f>
        <v/>
      </c>
      <c r="P102" s="102"/>
      <c r="Q102" s="97" t="str">
        <f t="array" ref="Q102">IFERROR(INDEX(MUNICIP.SECT,SMALL(IF(MIN(IF(RANGOS.SECT=$A$100,SEA.REV,""))=IF(RANGOS.SECT=$A$100,SEA.REV,""),ROW(SEA.REV)-MIN(ROW(SEA.REV))+1,""),ROW()-99)),"")</f>
        <v/>
      </c>
    </row>
    <row r="103" spans="1:17" ht="11.25" customHeight="1" thickTop="1">
      <c r="A103" s="16"/>
      <c r="B103" s="16"/>
      <c r="C103" s="16"/>
      <c r="D103" s="16"/>
      <c r="E103" s="16"/>
      <c r="F103" s="16"/>
      <c r="G103" s="82" t="str">
        <f t="array" ref="G103">IFERROR(INDEX(MUNICIP.SECT,SMALL(IF(MAX(IF(RANGOS.SECT=$A$100,SEA.REV,""))=IF(RANGOS.SECT=$A$100,SEA.REV,0),ROW(SEA.REV)-MIN(ROW(SEA.REV))+1,""),ROW()-99)),"")</f>
        <v/>
      </c>
      <c r="H103" s="16"/>
      <c r="I103" s="16"/>
    </row>
    <row r="104" spans="1:17" s="12" customFormat="1" ht="30" customHeight="1" thickBot="1">
      <c r="A104" s="25" t="str">
        <f>"COMPARATIVA INTERMENSUAL DE PARO REGISTRADO POR SEXO ("&amp;J2&amp;" - "&amp;K2&amp;")"</f>
        <v>COMPARATIVA INTERMENSUAL DE PARO REGISTRADO POR SEXO (MARZO 2022 - FEBRERO 2022)</v>
      </c>
      <c r="B104" s="26"/>
      <c r="C104" s="26"/>
      <c r="D104" s="26"/>
      <c r="E104" s="26"/>
      <c r="F104" s="26"/>
      <c r="G104" s="26"/>
      <c r="H104" s="26"/>
      <c r="I104" s="26"/>
      <c r="J104" s="11"/>
    </row>
    <row r="105" spans="1:17" s="13" customFormat="1" ht="9.75" customHeight="1" thickTop="1">
      <c r="A105" s="19"/>
      <c r="B105" s="18"/>
      <c r="C105" s="18"/>
      <c r="D105" s="18"/>
      <c r="E105" s="18"/>
      <c r="F105" s="18"/>
      <c r="G105" s="18"/>
      <c r="H105" s="18"/>
      <c r="I105" s="18"/>
      <c r="J105" s="11"/>
    </row>
    <row r="106" spans="1:17" s="1" customFormat="1" ht="18.75">
      <c r="A106" s="404" t="s">
        <v>77</v>
      </c>
      <c r="B106" s="404"/>
      <c r="C106" s="404"/>
      <c r="D106" s="404"/>
      <c r="E106" s="404"/>
      <c r="F106" s="404" t="s">
        <v>69</v>
      </c>
      <c r="G106" s="404"/>
      <c r="H106" s="404" t="s">
        <v>70</v>
      </c>
      <c r="I106" s="410"/>
      <c r="J106" s="7"/>
    </row>
    <row r="107" spans="1:17" s="1" customFormat="1" ht="19.5" customHeight="1">
      <c r="A107" s="471" t="s">
        <v>85</v>
      </c>
      <c r="B107" s="443"/>
      <c r="C107" s="472"/>
      <c r="D107" s="502" t="str">
        <f>"HOMBRES - El paro "&amp;IF(F107&gt;0,"SUBE en: ",IF(F107&lt;0,"BAJA en:","NO VARIA: "))</f>
        <v xml:space="preserve">HOMBRES - El paro SUBE en: </v>
      </c>
      <c r="E107" s="503"/>
      <c r="F107" s="504">
        <f>+'PARO SEXO'!$M$51</f>
        <v>1368</v>
      </c>
      <c r="G107" s="414"/>
      <c r="H107" s="415">
        <f>+'PARO SEXO'!O51</f>
        <v>2.2352941176470589E-2</v>
      </c>
      <c r="I107" s="416"/>
      <c r="J107" s="7"/>
    </row>
    <row r="108" spans="1:17" s="1" customFormat="1" ht="19.5" customHeight="1" thickBot="1">
      <c r="A108" s="476"/>
      <c r="B108" s="477"/>
      <c r="C108" s="478"/>
      <c r="D108" s="495" t="str">
        <f>"MUJERES - El paro "&amp;IF(F108&gt;0,"SUBE en: ",IF(F108&lt;0,"BAJA en: ","NO VARIA: "))</f>
        <v xml:space="preserve">MUJERES - El paro BAJA en: </v>
      </c>
      <c r="E108" s="496"/>
      <c r="F108" s="501">
        <f>+'PARO SEXO'!N51</f>
        <v>-372</v>
      </c>
      <c r="G108" s="424"/>
      <c r="H108" s="425">
        <f>+'PARO SEXO'!P51</f>
        <v>-3.9946308724832218E-3</v>
      </c>
      <c r="I108" s="426"/>
      <c r="J108" s="7"/>
    </row>
    <row r="109" spans="1:17" s="13" customFormat="1" ht="9" customHeight="1" thickTop="1">
      <c r="A109" s="18"/>
      <c r="B109" s="18"/>
      <c r="C109" s="18"/>
      <c r="D109" s="18"/>
      <c r="E109" s="18"/>
      <c r="F109" s="18"/>
      <c r="G109" s="18"/>
      <c r="H109" s="18"/>
      <c r="I109" s="18"/>
      <c r="J109" s="11"/>
    </row>
    <row r="110" spans="1:17" s="12" customFormat="1" ht="33.75" customHeight="1">
      <c r="A110" s="72" t="s">
        <v>53</v>
      </c>
      <c r="B110" s="404" t="s">
        <v>61</v>
      </c>
      <c r="C110" s="404"/>
      <c r="D110" s="404"/>
      <c r="E110" s="404"/>
      <c r="F110" s="404" t="s">
        <v>62</v>
      </c>
      <c r="G110" s="404"/>
      <c r="H110" s="404"/>
      <c r="I110" s="410"/>
      <c r="J110" s="13"/>
    </row>
    <row r="111" spans="1:17" ht="16.5">
      <c r="A111" s="405" t="s">
        <v>0</v>
      </c>
      <c r="B111" s="406"/>
      <c r="C111" s="406"/>
      <c r="D111" s="406"/>
      <c r="E111" s="406"/>
      <c r="F111" s="406"/>
      <c r="G111" s="406"/>
      <c r="H111" s="406"/>
      <c r="I111" s="407"/>
    </row>
    <row r="112" spans="1:17" ht="16.5">
      <c r="A112" s="76"/>
      <c r="B112" s="394" t="s">
        <v>82</v>
      </c>
      <c r="C112" s="392"/>
      <c r="D112" s="391" t="s">
        <v>83</v>
      </c>
      <c r="E112" s="392"/>
      <c r="F112" s="391" t="s">
        <v>82</v>
      </c>
      <c r="G112" s="392"/>
      <c r="H112" s="391" t="s">
        <v>83</v>
      </c>
      <c r="I112" s="393"/>
      <c r="J112" s="9"/>
    </row>
    <row r="113" spans="1:17" ht="15" customHeight="1">
      <c r="A113" s="398" t="s">
        <v>55</v>
      </c>
      <c r="B113" s="36">
        <f t="shared" ref="B113:B121" si="24">+IF(J113&gt;0,J113,"")</f>
        <v>41</v>
      </c>
      <c r="C113" s="44" t="str">
        <f>IF($J$113&gt;0,K113,"NO SUBE EN ESTE RANGO")</f>
        <v/>
      </c>
      <c r="D113" s="51">
        <f t="shared" ref="D113:D121" si="25">+IF(L113&lt;0,L113,"")</f>
        <v>-5</v>
      </c>
      <c r="E113" s="31" t="str">
        <f>IF($L$113&lt;0,M113,"NO BAJA EN ESTE RANGO")</f>
        <v/>
      </c>
      <c r="F113" s="130">
        <f t="shared" ref="F113:F121" si="26">+IF(N113&gt;0,N113,"")</f>
        <v>0.20398009950248755</v>
      </c>
      <c r="G113" s="44" t="str">
        <f>IF($N$113&gt;0,O113,"NO SUBE EN ESTE RANGO")</f>
        <v/>
      </c>
      <c r="H113" s="137">
        <f t="shared" ref="H113:H121" si="27">+IF(P113&lt;0,P113,"")</f>
        <v>-0.125</v>
      </c>
      <c r="I113" s="37" t="str">
        <f>IF($P$113&lt;0,Q113,"NO BAJA EN ESTE RANGO")</f>
        <v/>
      </c>
      <c r="J113" s="104">
        <f t="array" ref="J113">+MAX(IF(RANGO.SEXO=$A113,HOMBRES.ABS))</f>
        <v>41</v>
      </c>
      <c r="K113" s="89" t="str">
        <f t="array" ref="K113">IFERROR(INDEX(MUNICIP.SEXO,SMALL(IF(MAX(IF(RANGO.SEXO=$A$113,HOMBRES.ABS,""))=IF(RANGO.SEXO=$A$113,HOMBRES.ABS,""),ROW(HOMBRES.ABS)-MIN(ROW(HOMBRES.ABS))+1,""),ROW()-113)),"")</f>
        <v/>
      </c>
      <c r="L113" s="104">
        <f t="array" ref="L113">+MIN(IF(RANGO.SEXO=$A113,HOMBRES.ABS))</f>
        <v>-5</v>
      </c>
      <c r="M113" s="90" t="str">
        <f t="array" ref="M113">IFERROR(INDEX(MUNICIP.SEXO,SMALL(IF(MIN(IF(RANGO.SEXO=$A$113,HOMBRES.ABS,""))=IF(RANGO.SEXO=$A$113,HOMBRES.ABS,""),ROW(HOMBRES.ABS)-MIN(ROW(HOMBRES.ABS))+1,""),ROW()-113)),"")</f>
        <v/>
      </c>
      <c r="N113" s="105">
        <f t="array" ref="N113">+MAX(IF(RANGO.SEXO=$A113,HOMBRES.REV))</f>
        <v>0.20398009950248755</v>
      </c>
      <c r="O113" s="89" t="str">
        <f t="array" ref="O113">IFERROR(INDEX(MUNICIP.SEXO,SMALL(IF(MAX(IF(RANGO.SEXO=$A$113,HOMBRES.REV,""))=IF(RANGO.SEXO=$A$113,HOMBRES.REV,""),ROW(HOMBRES.REV)-MIN(ROW(HOMBRES.REV))+1,""),ROW()-113)),"")</f>
        <v/>
      </c>
      <c r="P113" s="106">
        <f t="array" ref="P113">+MIN(IF(RANGO.SEXO=$A113,HOMBRES.REV))</f>
        <v>-0.125</v>
      </c>
      <c r="Q113" s="93" t="str">
        <f t="array" ref="Q113">IFERROR(INDEX(MUNICIP.SEXO,SMALL(IF(MIN(IF(RANGO.SEXO=$A$113,HOMBRES.REV,""))=IF(RANGO.SEXO=$A$113,HOMBRES.REV,""),ROW(HOMBRES.REV)-MIN(ROW(HOMBRES.REV))+1,""),ROW()-113)),"")</f>
        <v/>
      </c>
    </row>
    <row r="114" spans="1:17" ht="15" customHeight="1">
      <c r="A114" s="399"/>
      <c r="B114" s="49" t="str">
        <f t="shared" si="24"/>
        <v/>
      </c>
      <c r="C114" s="29" t="str">
        <f>IF($J$113&gt;0,K114,"")</f>
        <v>ESPERA</v>
      </c>
      <c r="D114" s="58" t="str">
        <f t="shared" si="25"/>
        <v/>
      </c>
      <c r="E114" s="33" t="str">
        <f>IF($L$113&lt;0,M114,"")</f>
        <v>SAN MARTÍN DEL TESORILLO</v>
      </c>
      <c r="F114" s="56" t="str">
        <f t="shared" si="26"/>
        <v/>
      </c>
      <c r="G114" s="29" t="str">
        <f>IF($N$113&gt;0,O114,"")</f>
        <v>ESPERA</v>
      </c>
      <c r="H114" s="58" t="str">
        <f t="shared" si="27"/>
        <v/>
      </c>
      <c r="I114" s="27" t="str">
        <f>IF($P$113&lt;0,Q114,"")</f>
        <v>VILLALUENGA DEL ROSARIO</v>
      </c>
      <c r="J114" s="107"/>
      <c r="K114" s="89" t="str">
        <f t="array" ref="K114">IFERROR(INDEX(MUNICIP.SEXO,SMALL(IF(MAX(IF(RANGO.SEXO=$A$113,HOMBRES.ABS,""))=IF(RANGO.SEXO=$A$113,HOMBRES.ABS,""),ROW(HOMBRES.ABS)-MIN(ROW(HOMBRES.ABS))+1,""),ROW()-113)),"")</f>
        <v>ESPERA</v>
      </c>
      <c r="L114" s="107"/>
      <c r="M114" s="90" t="str">
        <f t="array" ref="M114">IFERROR(INDEX(MUNICIP.SEXO,SMALL(IF(MIN(IF(RANGO.SEXO=$A$113,HOMBRES.ABS,""))=IF(RANGO.SEXO=$A$113,HOMBRES.ABS,""),ROW(HOMBRES.ABS)-MIN(ROW(HOMBRES.ABS))+1,""),ROW()-113)),"")</f>
        <v>SAN MARTÍN DEL TESORILLO</v>
      </c>
      <c r="N114" s="108"/>
      <c r="O114" s="89" t="str">
        <f t="array" ref="O114">IFERROR(INDEX(MUNICIP.SEXO,SMALL(IF(MAX(IF(RANGO.SEXO=$A$113,HOMBRES.REV,""))=IF(RANGO.SEXO=$A$113,HOMBRES.REV,""),ROW(HOMBRES.REV)-MIN(ROW(HOMBRES.REV))+1,""),ROW()-113)),"")</f>
        <v>ESPERA</v>
      </c>
      <c r="P114" s="107"/>
      <c r="Q114" s="93" t="str">
        <f t="array" ref="Q114">IFERROR(INDEX(MUNICIP.SEXO,SMALL(IF(MIN(IF(RANGO.SEXO=$A$113,HOMBRES.REV,""))=IF(RANGO.SEXO=$A$113,HOMBRES.REV,""),ROW(HOMBRES.REV)-MIN(ROW(HOMBRES.REV))+1,""),ROW()-113)),"")</f>
        <v>VILLALUENGA DEL ROSARIO</v>
      </c>
    </row>
    <row r="115" spans="1:17" ht="15" customHeight="1">
      <c r="A115" s="399"/>
      <c r="B115" s="49" t="str">
        <f t="shared" si="24"/>
        <v/>
      </c>
      <c r="C115" s="29" t="str">
        <f>IF($J$113&gt;0,K115,"")</f>
        <v/>
      </c>
      <c r="D115" s="58" t="str">
        <f t="shared" si="25"/>
        <v/>
      </c>
      <c r="E115" s="33" t="str">
        <f>IF($L$113&lt;0,M115,"")</f>
        <v/>
      </c>
      <c r="F115" s="56" t="str">
        <f t="shared" si="26"/>
        <v/>
      </c>
      <c r="G115" s="29" t="str">
        <f>IF($N$113&gt;0,O115,"")</f>
        <v/>
      </c>
      <c r="H115" s="58" t="str">
        <f t="shared" si="27"/>
        <v/>
      </c>
      <c r="I115" s="27" t="str">
        <f>IF($P$113&lt;0,Q115,"")</f>
        <v/>
      </c>
      <c r="J115" s="107"/>
      <c r="K115" s="89" t="str">
        <f t="array" ref="K115">IFERROR(INDEX(MUNICIP.SEXO,SMALL(IF(MAX(IF(RANGO.SEXO=$A$113,HOMBRES.ABS,""))=IF(RANGO.SEXO=$A$113,HOMBRES.ABS,""),ROW(HOMBRES.ABS)-MIN(ROW(HOMBRES.ABS))+1,""),ROW()-113)),"")</f>
        <v/>
      </c>
      <c r="L115" s="107"/>
      <c r="M115" s="90" t="str">
        <f t="array" ref="M115">IFERROR(INDEX(MUNICIP.SEXO,SMALL(IF(MIN(IF(RANGO.SEXO=$A$113,HOMBRES.ABS,""))=IF(RANGO.SEXO=$A$113,HOMBRES.ABS,""),ROW(HOMBRES.ABS)-MIN(ROW(HOMBRES.ABS))+1,""),ROW()-113)),"")</f>
        <v/>
      </c>
      <c r="N115" s="108"/>
      <c r="O115" s="89" t="str">
        <f t="array" ref="O115">IFERROR(INDEX(MUNICIP.SEXO,SMALL(IF(MAX(IF(RANGO.SEXO=$A$113,HOMBRES.REV,""))=IF(RANGO.SEXO=$A$113,HOMBRES.REV,""),ROW(HOMBRES.REV)-MIN(ROW(HOMBRES.REV))+1,""),ROW()-113)),"")</f>
        <v/>
      </c>
      <c r="P115" s="107"/>
      <c r="Q115" s="93" t="str">
        <f t="array" ref="Q115">IFERROR(INDEX(MUNICIP.SEXO,SMALL(IF(MIN(IF(RANGO.SEXO=$A$113,HOMBRES.REV,""))=IF(RANGO.SEXO=$A$113,HOMBRES.REV,""),ROW(HOMBRES.REV)-MIN(ROW(HOMBRES.REV))+1,""),ROW()-113)),"")</f>
        <v/>
      </c>
    </row>
    <row r="116" spans="1:17" ht="15" customHeight="1">
      <c r="A116" s="397" t="s">
        <v>54</v>
      </c>
      <c r="B116" s="36">
        <f t="shared" si="24"/>
        <v>83</v>
      </c>
      <c r="C116" s="44" t="str">
        <f>IF($J$116&gt;0,K116,"NO SUBE EN ESTE RANGO")</f>
        <v/>
      </c>
      <c r="D116" s="57">
        <f t="shared" si="25"/>
        <v>-53</v>
      </c>
      <c r="E116" s="31" t="str">
        <f>IF($L$116&lt;0,M116,"NO BAJA EN ESTE RANGO")</f>
        <v/>
      </c>
      <c r="F116" s="68">
        <f t="shared" si="26"/>
        <v>0.16403785488958991</v>
      </c>
      <c r="G116" s="44" t="str">
        <f>IF($N$116&gt;0,O116,"NO SUBE EN ESTE RANGO")</f>
        <v/>
      </c>
      <c r="H116" s="69">
        <f t="shared" si="27"/>
        <v>-6.7774936061381075E-2</v>
      </c>
      <c r="I116" s="37" t="str">
        <f>IF($P$116&lt;0,Q116,"NO BAJA EN ESTE RANGO")</f>
        <v/>
      </c>
      <c r="J116" s="104">
        <f t="array" ref="J116">+MAX(IF(RANGO.SEXO=$A116,HOMBRES.ABS))</f>
        <v>83</v>
      </c>
      <c r="K116" s="89" t="str">
        <f t="array" ref="K116">IFERROR(INDEX(MUNICIP.SEXO,SMALL(IF(MAX(IF(RANGO.SEXO=$A$116,HOMBRES.ABS,""))=IF(RANGO.SEXO=$A$116,HOMBRES.ABS,""),ROW(HOMBRES.ABS)-MIN(ROW(HOMBRES.ABS))+1,""),ROW()-116)),"")</f>
        <v/>
      </c>
      <c r="L116" s="104">
        <f t="array" ref="L116">+MIN(IF(RANGO.SEXO=$A116,HOMBRES.ABS))</f>
        <v>-53</v>
      </c>
      <c r="M116" s="90" t="str">
        <f t="array" ref="M116">IFERROR(INDEX(MUNICIP.SEXO,SMALL(IF(MIN(IF(RANGO.SEXO=$A$116,HOMBRES.ABS,""))=IF(RANGO.SEXO=$A$116,HOMBRES.ABS,""),ROW(HOMBRES.ABS)-MIN(ROW(HOMBRES.ABS))+1,""),ROW()-116)),"")</f>
        <v/>
      </c>
      <c r="N116" s="105">
        <f t="array" ref="N116">+MAX(IF(RANGO.SEXO=$A116,HOMBRES.REV))</f>
        <v>0.16403785488958991</v>
      </c>
      <c r="O116" s="89" t="str">
        <f t="array" ref="O116">IFERROR(INDEX(MUNICIP.SEXO,SMALL(IF(MAX(IF(RANGO.SEXO=$A$116,HOMBRES.REV,""))=IF(RANGO.SEXO=$A$116,HOMBRES.REV,""),ROW(HOMBRES.REV)-MIN(ROW(HOMBRES.REV))+1,""),ROW()-116)),"")</f>
        <v/>
      </c>
      <c r="P116" s="106">
        <f t="array" ref="P116">+MIN(IF(RANGO.SEXO=$A116,HOMBRES.REV))</f>
        <v>-6.7774936061381075E-2</v>
      </c>
      <c r="Q116" s="93" t="str">
        <f t="array" ref="Q116">IFERROR(INDEX(MUNICIP.SEXO,SMALL(IF(MIN(IF(RANGO.SEXO=$A$116,HOMBRES.REV,""))=IF(RANGO.SEXO=$A$116,HOMBRES.REV,""),ROW(HOMBRES.REV)-MIN(ROW(HOMBRES.REV))+1,""),ROW()-116)),"")</f>
        <v/>
      </c>
    </row>
    <row r="117" spans="1:17" ht="15" customHeight="1">
      <c r="A117" s="397"/>
      <c r="B117" s="49" t="str">
        <f t="shared" si="24"/>
        <v/>
      </c>
      <c r="C117" s="29" t="str">
        <f>IF($J$116&gt;0,K117,"")</f>
        <v>VILLAMARTIN</v>
      </c>
      <c r="D117" s="58" t="str">
        <f t="shared" si="25"/>
        <v/>
      </c>
      <c r="E117" s="33" t="str">
        <f>IF($L$116&lt;0,M117,"")</f>
        <v>TARIFA</v>
      </c>
      <c r="F117" s="56" t="str">
        <f t="shared" si="26"/>
        <v/>
      </c>
      <c r="G117" s="29" t="str">
        <f>IF($N$116&gt;0,O117,"")</f>
        <v>PATERNA DE RIVERA</v>
      </c>
      <c r="H117" s="58" t="str">
        <f t="shared" si="27"/>
        <v/>
      </c>
      <c r="I117" s="27" t="str">
        <f>IF($P$116&lt;0,Q117,"")</f>
        <v>TARIFA</v>
      </c>
      <c r="J117" s="107"/>
      <c r="K117" s="89" t="str">
        <f t="array" ref="K117">IFERROR(INDEX(MUNICIP.SEXO,SMALL(IF(MAX(IF(RANGO.SEXO=$A$116,HOMBRES.ABS,""))=IF(RANGO.SEXO=$A$116,HOMBRES.ABS,""),ROW(HOMBRES.ABS)-MIN(ROW(HOMBRES.ABS))+1,""),ROW()-116)),"")</f>
        <v>VILLAMARTIN</v>
      </c>
      <c r="L117" s="107"/>
      <c r="M117" s="90" t="str">
        <f t="array" ref="M117">IFERROR(INDEX(MUNICIP.SEXO,SMALL(IF(MIN(IF(RANGO.SEXO=$A$116,HOMBRES.ABS,""))=IF(RANGO.SEXO=$A$116,HOMBRES.ABS,""),ROW(HOMBRES.ABS)-MIN(ROW(HOMBRES.ABS))+1,""),ROW()-116)),"")</f>
        <v>TARIFA</v>
      </c>
      <c r="N117" s="108"/>
      <c r="O117" s="89" t="str">
        <f t="array" ref="O117">IFERROR(INDEX(MUNICIP.SEXO,SMALL(IF(MAX(IF(RANGO.SEXO=$A$116,HOMBRES.REV,""))=IF(RANGO.SEXO=$A$116,HOMBRES.REV,""),ROW(HOMBRES.REV)-MIN(ROW(HOMBRES.REV))+1,""),ROW()-116)),"")</f>
        <v>PATERNA DE RIVERA</v>
      </c>
      <c r="P117" s="107"/>
      <c r="Q117" s="93" t="str">
        <f t="array" ref="Q117">IFERROR(INDEX(MUNICIP.SEXO,SMALL(IF(MIN(IF(RANGO.SEXO=$A$116,HOMBRES.REV,""))=IF(RANGO.SEXO=$A$116,HOMBRES.REV,""),ROW(HOMBRES.REV)-MIN(ROW(HOMBRES.REV))+1,""),ROW()-116)),"")</f>
        <v>TARIFA</v>
      </c>
    </row>
    <row r="118" spans="1:17" ht="15" customHeight="1">
      <c r="A118" s="397"/>
      <c r="B118" s="50" t="str">
        <f t="shared" si="24"/>
        <v/>
      </c>
      <c r="C118" s="45" t="str">
        <f>IF($J$116&gt;0,K118,"")</f>
        <v/>
      </c>
      <c r="D118" s="59" t="str">
        <f t="shared" si="25"/>
        <v/>
      </c>
      <c r="E118" s="35" t="str">
        <f>IF($L$116&lt;0,M118,"")</f>
        <v/>
      </c>
      <c r="F118" s="64" t="str">
        <f t="shared" si="26"/>
        <v/>
      </c>
      <c r="G118" s="45" t="str">
        <f>IF($N$116&gt;0,O118,"")</f>
        <v/>
      </c>
      <c r="H118" s="59" t="str">
        <f t="shared" si="27"/>
        <v/>
      </c>
      <c r="I118" s="40" t="str">
        <f>IF($P$116&lt;0,Q118,"")</f>
        <v/>
      </c>
      <c r="J118" s="109"/>
      <c r="K118" s="89" t="str">
        <f t="array" ref="K118">IFERROR(INDEX(MUNICIP.SEXO,SMALL(IF(MAX(IF(RANGO.SEXO=$A$116,HOMBRES.ABS,""))=IF(RANGO.SEXO=$A$116,HOMBRES.ABS,""),ROW(HOMBRES.ABS)-MIN(ROW(HOMBRES.ABS))+1,""),ROW()-116)),"")</f>
        <v/>
      </c>
      <c r="L118" s="109"/>
      <c r="M118" s="90" t="str">
        <f t="array" ref="M118">IFERROR(INDEX(MUNICIP.SEXO,SMALL(IF(MIN(IF(RANGO.SEXO=$A$116,HOMBRES.ABS,""))=IF(RANGO.SEXO=$A$116,HOMBRES.ABS,""),ROW(HOMBRES.ABS)-MIN(ROW(HOMBRES.ABS))+1,""),ROW()-116)),"")</f>
        <v/>
      </c>
      <c r="N118" s="110"/>
      <c r="O118" s="89" t="str">
        <f t="array" ref="O118">IFERROR(INDEX(MUNICIP.SEXO,SMALL(IF(MAX(IF(RANGO.SEXO=$A$116,HOMBRES.REV,""))=IF(RANGO.SEXO=$A$116,HOMBRES.REV,""),ROW(HOMBRES.REV)-MIN(ROW(HOMBRES.REV))+1,""),ROW()-116)),"")</f>
        <v/>
      </c>
      <c r="P118" s="109"/>
      <c r="Q118" s="93" t="str">
        <f t="array" ref="Q118">IFERROR(INDEX(MUNICIP.SEXO,SMALL(IF(MIN(IF(RANGO.SEXO=$A$116,HOMBRES.REV,""))=IF(RANGO.SEXO=$A$116,HOMBRES.REV,""),ROW(HOMBRES.REV)-MIN(ROW(HOMBRES.REV))+1,""),ROW()-116)),"")</f>
        <v/>
      </c>
    </row>
    <row r="119" spans="1:17" ht="15" customHeight="1">
      <c r="A119" s="395" t="s">
        <v>56</v>
      </c>
      <c r="B119" s="49">
        <f t="shared" si="24"/>
        <v>324</v>
      </c>
      <c r="C119" s="29" t="str">
        <f>IF($J$119&gt;0,K119,"NO SUBE EN ESTE RANGO")</f>
        <v/>
      </c>
      <c r="D119" s="58">
        <f t="shared" si="25"/>
        <v>-88</v>
      </c>
      <c r="E119" s="33" t="str">
        <f>IF($L$119&lt;0,M119,"NO BAJA EN ESTE RANGO")</f>
        <v/>
      </c>
      <c r="F119" s="66">
        <f t="shared" si="26"/>
        <v>0.1298623578695392</v>
      </c>
      <c r="G119" s="29" t="str">
        <f>IF($N$119&gt;0,O119,"NO SUBE EN ESTE RANGO")</f>
        <v/>
      </c>
      <c r="H119" s="70">
        <f t="shared" si="27"/>
        <v>-5.4153846153846157E-2</v>
      </c>
      <c r="I119" s="27" t="str">
        <f>IF($P$119&lt;0,Q119,"NO BAJA EN ESTE RANGO")</f>
        <v/>
      </c>
      <c r="J119" s="108">
        <f t="array" ref="J119">+MAX(IF(RANGO.SEXO=$A119,HOMBRES.ABS))</f>
        <v>324</v>
      </c>
      <c r="K119" s="95" t="str">
        <f t="array" ref="K119">IFERROR(INDEX(MUNICIP.SEXO,SMALL(IF(MAX(IF(RANGO.SEXO=$A$119,HOMBRES.ABS,""))=IF(RANGO.SEXO=$A$119,HOMBRES.ABS,""),ROW(HOMBRES.ABS)-MIN(ROW(HOMBRES.ABS))+1,""),ROW()-119)),"")</f>
        <v/>
      </c>
      <c r="L119" s="107">
        <f t="array" ref="L119">+MIN(IF(RANGO.SEXO=$A119,HOMBRES.ABS))</f>
        <v>-88</v>
      </c>
      <c r="M119" s="96" t="str">
        <f t="array" ref="M119">IFERROR(INDEX(MUNICIP.SEXO,SMALL(IF(MIN(IF(RANGO.SEXO=$A$119,HOMBRES.ABS,""))=IF(RANGO.SEXO=$A$119,HOMBRES.ABS,""),ROW(HOMBRES.ABS)-MIN(ROW(HOMBRES.ABS))+1,""),ROW()-119)),"")</f>
        <v/>
      </c>
      <c r="N119" s="111">
        <f t="array" ref="N119">+MAX(IF(RANGO.SEXO=$A119,HOMBRES.REV))</f>
        <v>0.1298623578695392</v>
      </c>
      <c r="O119" s="95" t="str">
        <f t="array" ref="O119">IFERROR(INDEX(MUNICIP.SEXO,SMALL(IF(MAX(IF(RANGO.SEXO=$A$119,HOMBRES.REV,""))=IF(RANGO.SEXO=$A$119,HOMBRES.REV,""),ROW(HOMBRES.REV)-MIN(ROW(HOMBRES.REV))+1,""),ROW()-119)),"")</f>
        <v/>
      </c>
      <c r="P119" s="112">
        <f t="array" ref="P119">+MIN(IF(RANGO.SEXO=$A119,HOMBRES.REV))</f>
        <v>-5.4153846153846157E-2</v>
      </c>
      <c r="Q119" s="97" t="str">
        <f t="array" ref="Q119">IFERROR(INDEX(MUNICIP.SEXO,SMALL(IF(MIN(IF(RANGO.SEXO=$A$119,HOMBRES.REV,""))=IF(RANGO.SEXO=$A$119,HOMBRES.REV,""),ROW(HOMBRES.REV)-MIN(ROW(HOMBRES.REV))+1,""),ROW()-119)),"")</f>
        <v/>
      </c>
    </row>
    <row r="120" spans="1:17" ht="15" customHeight="1">
      <c r="A120" s="395"/>
      <c r="B120" s="49" t="str">
        <f t="shared" si="24"/>
        <v/>
      </c>
      <c r="C120" s="29" t="str">
        <f>IF($J$119&gt;0,K120,"")</f>
        <v>JEREZ DE LA FRONTERA</v>
      </c>
      <c r="D120" s="58" t="str">
        <f t="shared" si="25"/>
        <v/>
      </c>
      <c r="E120" s="33" t="str">
        <f>IF($L$119&lt;0,M120,"")</f>
        <v>BARBATE</v>
      </c>
      <c r="F120" s="56" t="str">
        <f t="shared" si="26"/>
        <v/>
      </c>
      <c r="G120" s="29" t="str">
        <f>IF($N$119&gt;0,O120,"")</f>
        <v>ARCOS DE LA FRONTERA</v>
      </c>
      <c r="H120" s="58" t="str">
        <f t="shared" si="27"/>
        <v/>
      </c>
      <c r="I120" s="27" t="str">
        <f>IF($P$119&lt;0,Q120,"")</f>
        <v>BARBATE</v>
      </c>
      <c r="J120" s="108"/>
      <c r="K120" s="95" t="str">
        <f t="array" ref="K120">IFERROR(INDEX(MUNICIP.SEXO,SMALL(IF(MAX(IF(RANGO.SEXO=$A$119,HOMBRES.ABS,""))=IF(RANGO.SEXO=$A$119,HOMBRES.ABS,""),ROW(HOMBRES.ABS)-MIN(ROW(HOMBRES.ABS))+1,""),ROW()-119)),"")</f>
        <v>JEREZ DE LA FRONTERA</v>
      </c>
      <c r="L120" s="107"/>
      <c r="M120" s="96" t="str">
        <f t="array" ref="M120">IFERROR(INDEX(MUNICIP.SEXO,SMALL(IF(MIN(IF(RANGO.SEXO=$A$119,HOMBRES.ABS,""))=IF(RANGO.SEXO=$A$119,HOMBRES.ABS,""),ROW(HOMBRES.ABS)-MIN(ROW(HOMBRES.ABS))+1,""),ROW()-119)),"")</f>
        <v>BARBATE</v>
      </c>
      <c r="N120" s="108"/>
      <c r="O120" s="95" t="str">
        <f t="array" ref="O120">IFERROR(INDEX(MUNICIP.SEXO,SMALL(IF(MAX(IF(RANGO.SEXO=$A$119,HOMBRES.REV,""))=IF(RANGO.SEXO=$A$119,HOMBRES.REV,""),ROW(HOMBRES.REV)-MIN(ROW(HOMBRES.REV))+1,""),ROW()-119)),"")</f>
        <v>ARCOS DE LA FRONTERA</v>
      </c>
      <c r="P120" s="107"/>
      <c r="Q120" s="97" t="str">
        <f t="array" ref="Q120">IFERROR(INDEX(MUNICIP.SEXO,SMALL(IF(MIN(IF(RANGO.SEXO=$A$119,HOMBRES.REV,""))=IF(RANGO.SEXO=$A$119,HOMBRES.REV,""),ROW(HOMBRES.REV)-MIN(ROW(HOMBRES.REV))+1,""),ROW()-119)),"")</f>
        <v>BARBATE</v>
      </c>
    </row>
    <row r="121" spans="1:17" ht="15" customHeight="1">
      <c r="A121" s="403"/>
      <c r="B121" s="50" t="str">
        <f t="shared" si="24"/>
        <v/>
      </c>
      <c r="C121" s="45" t="str">
        <f>IF($J$119&gt;0,K121,"")</f>
        <v/>
      </c>
      <c r="D121" s="59" t="str">
        <f t="shared" si="25"/>
        <v/>
      </c>
      <c r="E121" s="35" t="str">
        <f>IF($L$119&lt;0,M121,"")</f>
        <v/>
      </c>
      <c r="F121" s="64" t="str">
        <f t="shared" si="26"/>
        <v/>
      </c>
      <c r="G121" s="45" t="str">
        <f>IF($N$119&gt;0,O121,"")</f>
        <v/>
      </c>
      <c r="H121" s="59" t="str">
        <f t="shared" si="27"/>
        <v/>
      </c>
      <c r="I121" s="40" t="str">
        <f>IF($P$119&lt;0,Q121,"")</f>
        <v/>
      </c>
      <c r="J121" s="108"/>
      <c r="K121" s="95" t="str">
        <f t="array" ref="K121">IFERROR(INDEX(MUNICIP.SEXO,SMALL(IF(MAX(IF(RANGO.SEXO=$A$119,HOMBRES.ABS,""))=IF(RANGO.SEXO=$A$119,HOMBRES.ABS,""),ROW(HOMBRES.ABS)-MIN(ROW(HOMBRES.ABS))+1,""),ROW()-119)),"")</f>
        <v/>
      </c>
      <c r="L121" s="109"/>
      <c r="M121" s="96" t="str">
        <f t="array" ref="M121">IFERROR(INDEX(MUNICIP.SEXO,SMALL(IF(MIN(IF(RANGO.SEXO=$A$119,HOMBRES.ABS,""))=IF(RANGO.SEXO=$A$119,HOMBRES.ABS,""),ROW(HOMBRES.ABS)-MIN(ROW(HOMBRES.ABS))+1,""),ROW()-119)),"")</f>
        <v/>
      </c>
      <c r="N121" s="108"/>
      <c r="O121" s="95" t="str">
        <f t="array" ref="O121">IFERROR(INDEX(MUNICIP.SEXO,SMALL(IF(MAX(IF(RANGO.SEXO=$A$119,HOMBRES.REV,""))=IF(RANGO.SEXO=$A$119,HOMBRES.REV,""),ROW(HOMBRES.REV)-MIN(ROW(HOMBRES.REV))+1,""),ROW()-119)),"")</f>
        <v/>
      </c>
      <c r="P121" s="109"/>
      <c r="Q121" s="97" t="str">
        <f t="array" ref="Q121">IFERROR(INDEX(MUNICIP.SEXO,SMALL(IF(MIN(IF(RANGO.SEXO=$A$119,HOMBRES.REV,""))=IF(RANGO.SEXO=$A$119,HOMBRES.REV,""),ROW(HOMBRES.REV)-MIN(ROW(HOMBRES.REV))+1,""),ROW()-119)),"")</f>
        <v/>
      </c>
    </row>
    <row r="122" spans="1:17" ht="16.5">
      <c r="A122" s="405" t="s">
        <v>1</v>
      </c>
      <c r="B122" s="406"/>
      <c r="C122" s="406"/>
      <c r="D122" s="406"/>
      <c r="E122" s="406"/>
      <c r="F122" s="406"/>
      <c r="G122" s="406"/>
      <c r="H122" s="406"/>
      <c r="I122" s="407"/>
    </row>
    <row r="123" spans="1:17" ht="16.5">
      <c r="A123" s="76"/>
      <c r="B123" s="394" t="s">
        <v>82</v>
      </c>
      <c r="C123" s="392"/>
      <c r="D123" s="391" t="s">
        <v>83</v>
      </c>
      <c r="E123" s="392"/>
      <c r="F123" s="391" t="s">
        <v>82</v>
      </c>
      <c r="G123" s="392"/>
      <c r="H123" s="391" t="s">
        <v>83</v>
      </c>
      <c r="I123" s="393"/>
      <c r="J123" s="9"/>
    </row>
    <row r="124" spans="1:17" ht="15" customHeight="1">
      <c r="A124" s="398" t="s">
        <v>55</v>
      </c>
      <c r="B124" s="36">
        <f t="shared" ref="B124:B132" si="28">+IF(J124&gt;0,J124,"")</f>
        <v>13</v>
      </c>
      <c r="C124" s="44" t="str">
        <f>IF($J$124&gt;0,K124,"NO SUBE EN ESTE RANGO")</f>
        <v/>
      </c>
      <c r="D124" s="51">
        <f t="shared" ref="D124:D132" si="29">+IF(L124&lt;0,L124,"")</f>
        <v>-14</v>
      </c>
      <c r="E124" s="31" t="str">
        <f>IF($L$124&lt;0,M124,"NO BAJA EN ESTE RANGO")</f>
        <v/>
      </c>
      <c r="F124" s="130">
        <f t="shared" ref="F124:F132" si="30">+IF(N124&gt;0,N124,"")</f>
        <v>0.13978494623655913</v>
      </c>
      <c r="G124" s="44" t="str">
        <f>IF($N$124&gt;0,O124,"NO SUBE EN ESTE RANGO")</f>
        <v/>
      </c>
      <c r="H124" s="137">
        <f t="shared" ref="H124:H132" si="31">+IF(P124&lt;0,P124,"")</f>
        <v>-6.3348416289592757E-2</v>
      </c>
      <c r="I124" s="37" t="str">
        <f>IF($P$124&lt;0,Q124,"NO BAJA EN ESTE RANGO")</f>
        <v/>
      </c>
      <c r="J124" s="104">
        <f t="array" ref="J124">+MAX(IF(RANGO.SEXO=$A124,MUJERES.ABS))</f>
        <v>13</v>
      </c>
      <c r="K124" s="89" t="str">
        <f t="array" ref="K124">IFERROR(INDEX(MUNICIP.SEXO,SMALL(IF(MAX(IF(RANGO.SEXO=$A$124,MUJERES.ABS,""))=IF(RANGO.SEXO=$A$124,MUJERES.ABS,""),ROW(MUJERES.ABS)-MIN(ROW(MUJERES.ABS))+1,""),ROW()-124)),"")</f>
        <v/>
      </c>
      <c r="L124" s="104">
        <f t="array" ref="L124">+MIN(IF(RANGO.SEXO=$A124,MUJERES.ABS))</f>
        <v>-14</v>
      </c>
      <c r="M124" s="90" t="str">
        <f t="array" ref="M124">IFERROR(INDEX(MUNICIP.SEXO,SMALL(IF(MIN(IF(RANGO.SEXO=$A$124,MUJERES.ABS,""))=IF(RANGO.SEXO=$A$124,MUJERES.ABS,""),ROW(MUJERES.ABS)-MIN(ROW(MUJERES.ABS))+1,""),ROW()-124)),"")</f>
        <v/>
      </c>
      <c r="N124" s="105">
        <f t="array" ref="N124">+MAX(IF(RANGO.SEXO=$A124,MUJERES.REV))</f>
        <v>0.13978494623655913</v>
      </c>
      <c r="O124" s="89" t="str">
        <f t="array" ref="O124">IFERROR(INDEX(MUNICIP.SEXO,SMALL(IF(MAX(IF(RANGO.SEXO=$A$124,MUJERES.REV,""))=IF(RANGO.SEXO=$A$124,MUJERES.REV,""),ROW(MUJERES.REV)-MIN(ROW(MUJERES.REV))+1,""),ROW()-124)),"")</f>
        <v/>
      </c>
      <c r="P124" s="106">
        <f t="array" ref="P124">+MIN(IF(RANGO.SEXO=$A124,MUJERES.REV))</f>
        <v>-6.3348416289592757E-2</v>
      </c>
      <c r="Q124" s="93" t="str">
        <f t="array" ref="Q124">IFERROR(INDEX(MUNICIP.SEXO,SMALL(IF(MIN(IF(RANGO.SEXO=$A$124,MUJERES.REV,""))=IF(RANGO.SEXO=$A$124,MUJERES.REV,""),ROW(MUJERES.REV)-MIN(ROW(MUJERES.REV))+1,""),ROW()-124)),"")</f>
        <v/>
      </c>
    </row>
    <row r="125" spans="1:17" ht="15" customHeight="1">
      <c r="A125" s="399"/>
      <c r="B125" s="49" t="str">
        <f t="shared" si="28"/>
        <v/>
      </c>
      <c r="C125" s="29" t="str">
        <f>IF($J$124&gt;0,K125,"")</f>
        <v>ALGAR</v>
      </c>
      <c r="D125" s="58" t="str">
        <f t="shared" si="29"/>
        <v/>
      </c>
      <c r="E125" s="33" t="str">
        <f>IF($L$124&lt;0,M125,"")</f>
        <v>CASTELLAR DE LA FRONTERA</v>
      </c>
      <c r="F125" s="56" t="str">
        <f t="shared" si="30"/>
        <v/>
      </c>
      <c r="G125" s="29" t="str">
        <f>IF($N$124&gt;0,O125,"")</f>
        <v>ALGAR</v>
      </c>
      <c r="H125" s="58" t="str">
        <f t="shared" si="31"/>
        <v/>
      </c>
      <c r="I125" s="27" t="str">
        <f>IF($P$124&lt;0,Q125,"")</f>
        <v>CASTELLAR DE LA FRONTERA</v>
      </c>
      <c r="J125" s="107"/>
      <c r="K125" s="89" t="str">
        <f t="array" ref="K125">IFERROR(INDEX(MUNICIP.SEXO,SMALL(IF(MAX(IF(RANGO.SEXO=$A$124,MUJERES.ABS,""))=IF(RANGO.SEXO=$A$124,MUJERES.ABS,""),ROW(MUJERES.ABS)-MIN(ROW(MUJERES.ABS))+1,""),ROW()-124)),"")</f>
        <v>ALGAR</v>
      </c>
      <c r="L125" s="107"/>
      <c r="M125" s="90" t="str">
        <f t="array" ref="M125">IFERROR(INDEX(MUNICIP.SEXO,SMALL(IF(MIN(IF(RANGO.SEXO=$A$124,MUJERES.ABS,""))=IF(RANGO.SEXO=$A$124,MUJERES.ABS,""),ROW(MUJERES.ABS)-MIN(ROW(MUJERES.ABS))+1,""),ROW()-124)),"")</f>
        <v>CASTELLAR DE LA FRONTERA</v>
      </c>
      <c r="N125" s="108"/>
      <c r="O125" s="89" t="str">
        <f t="array" ref="O125">IFERROR(INDEX(MUNICIP.SEXO,SMALL(IF(MAX(IF(RANGO.SEXO=$A$124,MUJERES.REV,""))=IF(RANGO.SEXO=$A$124,MUJERES.REV,""),ROW(MUJERES.REV)-MIN(ROW(MUJERES.REV))+1,""),ROW()-124)),"")</f>
        <v>ALGAR</v>
      </c>
      <c r="P125" s="107"/>
      <c r="Q125" s="93" t="str">
        <f t="array" ref="Q125">IFERROR(INDEX(MUNICIP.SEXO,SMALL(IF(MIN(IF(RANGO.SEXO=$A$124,MUJERES.REV,""))=IF(RANGO.SEXO=$A$124,MUJERES.REV,""),ROW(MUJERES.REV)-MIN(ROW(MUJERES.REV))+1,""),ROW()-124)),"")</f>
        <v>CASTELLAR DE LA FRONTERA</v>
      </c>
    </row>
    <row r="126" spans="1:17" ht="15" customHeight="1">
      <c r="A126" s="399"/>
      <c r="B126" s="49" t="str">
        <f t="shared" si="28"/>
        <v/>
      </c>
      <c r="C126" s="29" t="str">
        <f>IF($J$124&gt;0,K126,"")</f>
        <v/>
      </c>
      <c r="D126" s="58" t="str">
        <f t="shared" si="29"/>
        <v/>
      </c>
      <c r="E126" s="33" t="str">
        <f>IF($L$124&lt;0,M126,"")</f>
        <v/>
      </c>
      <c r="F126" s="56" t="str">
        <f t="shared" si="30"/>
        <v/>
      </c>
      <c r="G126" s="29" t="str">
        <f>IF($N$124&gt;0,O126,"")</f>
        <v/>
      </c>
      <c r="H126" s="58" t="str">
        <f t="shared" si="31"/>
        <v/>
      </c>
      <c r="I126" s="27" t="str">
        <f>IF($P$124&lt;0,Q126,"")</f>
        <v/>
      </c>
      <c r="J126" s="107"/>
      <c r="K126" s="89" t="str">
        <f t="array" ref="K126">IFERROR(INDEX(MUNICIP.SEXO,SMALL(IF(MAX(IF(RANGO.SEXO=$A$124,MUJERES.ABS,""))=IF(RANGO.SEXO=$A$124,MUJERES.ABS,""),ROW(MUJERES.ABS)-MIN(ROW(MUJERES.ABS))+1,""),ROW()-124)),"")</f>
        <v/>
      </c>
      <c r="L126" s="107"/>
      <c r="M126" s="90" t="str">
        <f t="array" ref="M126">IFERROR(INDEX(MUNICIP.SEXO,SMALL(IF(MIN(IF(RANGO.SEXO=$A$124,MUJERES.ABS,""))=IF(RANGO.SEXO=$A$124,MUJERES.ABS,""),ROW(MUJERES.ABS)-MIN(ROW(MUJERES.ABS))+1,""),ROW()-124)),"")</f>
        <v/>
      </c>
      <c r="N126" s="108"/>
      <c r="O126" s="89" t="str">
        <f t="array" ref="O126">IFERROR(INDEX(MUNICIP.SEXO,SMALL(IF(MAX(IF(RANGO.SEXO=$A$124,MUJERES.REV,""))=IF(RANGO.SEXO=$A$124,MUJERES.REV,""),ROW(MUJERES.REV)-MIN(ROW(MUJERES.REV))+1,""),ROW()-124)),"")</f>
        <v/>
      </c>
      <c r="P126" s="107"/>
      <c r="Q126" s="93" t="str">
        <f t="array" ref="Q126">IFERROR(INDEX(MUNICIP.SEXO,SMALL(IF(MIN(IF(RANGO.SEXO=$A$124,MUJERES.REV,""))=IF(RANGO.SEXO=$A$124,MUJERES.REV,""),ROW(MUJERES.REV)-MIN(ROW(MUJERES.REV))+1,""),ROW()-124)),"")</f>
        <v/>
      </c>
    </row>
    <row r="127" spans="1:17" ht="15" customHeight="1">
      <c r="A127" s="397" t="s">
        <v>54</v>
      </c>
      <c r="B127" s="36">
        <f t="shared" si="28"/>
        <v>14</v>
      </c>
      <c r="C127" s="44" t="str">
        <f>IF($J$127&gt;0,K127,"NO SUBE EN ESTE RANGO")</f>
        <v/>
      </c>
      <c r="D127" s="57">
        <f t="shared" si="29"/>
        <v>-57</v>
      </c>
      <c r="E127" s="31" t="str">
        <f>IF($L$127&lt;0,M127,"NO BAJA EN ESTE RANGO")</f>
        <v/>
      </c>
      <c r="F127" s="68">
        <f t="shared" si="30"/>
        <v>3.870967741935484E-2</v>
      </c>
      <c r="G127" s="44" t="str">
        <f>IF($N$127&gt;0,O127,"NO SUBE EN ESTE RANGO")</f>
        <v/>
      </c>
      <c r="H127" s="69">
        <f t="shared" si="31"/>
        <v>-4.7979797979797977E-2</v>
      </c>
      <c r="I127" s="37" t="str">
        <f>IF($P$127&lt;0,Q127,"NO BAJA EN ESTE RANGO")</f>
        <v/>
      </c>
      <c r="J127" s="104">
        <f t="array" ref="J127">+MAX(IF(RANGO.SEXO=$A127,MUJERES.ABS))</f>
        <v>14</v>
      </c>
      <c r="K127" s="89" t="str">
        <f t="array" ref="K127">IFERROR(INDEX(MUNICIP.SEXO,SMALL(IF(MAX(IF(RANGO.SEXO=$A$127,MUJERES.ABS,""))=IF(RANGO.SEXO=$A$127,MUJERES.ABS,""),ROW(MUJERES.ABS)-MIN(ROW(MUJERES.ABS))+1,""),ROW()-127)),"")</f>
        <v/>
      </c>
      <c r="L127" s="104">
        <f t="array" ref="L127">+MIN(IF(RANGO.SEXO=$A127,MUJERES.ABS))</f>
        <v>-57</v>
      </c>
      <c r="M127" s="90" t="str">
        <f t="array" ref="M127">IFERROR(INDEX(MUNICIP.SEXO,SMALL(IF(MIN(IF(RANGO.SEXO=$A$127,MUJERES.ABS,""))=IF(RANGO.SEXO=$A$127,MUJERES.ABS,""),ROW(MUJERES.ABS)-MIN(ROW(MUJERES.ABS))+1,""),ROW()-127)),"")</f>
        <v/>
      </c>
      <c r="N127" s="105">
        <f t="array" ref="N127">+MAX(IF(RANGO.SEXO=$A127,MUJERES.REV))</f>
        <v>3.870967741935484E-2</v>
      </c>
      <c r="O127" s="89" t="str">
        <f t="array" ref="O127">IFERROR(INDEX(MUNICIP.SEXO,SMALL(IF(MAX(IF(RANGO.SEXO=$A$127,MUJERES.REV,""))=IF(RANGO.SEXO=$A$127,MUJERES.REV,""),ROW(MUJERES.REV)-MIN(ROW(MUJERES.REV))+1,""),ROW()-127)),"")</f>
        <v/>
      </c>
      <c r="P127" s="106">
        <f t="array" ref="P127">+MIN(IF(RANGO.SEXO=$A127,MUJERES.REV))</f>
        <v>-4.7979797979797977E-2</v>
      </c>
      <c r="Q127" s="93" t="str">
        <f t="array" ref="Q127">IFERROR(INDEX(MUNICIP.SEXO,SMALL(IF(MIN(IF(RANGO.SEXO=$A$127,MUJERES.REV,""))=IF(RANGO.SEXO=$A$127,MUJERES.REV,""),ROW(MUJERES.REV)-MIN(ROW(MUJERES.REV))+1,""),ROW()-127)),"")</f>
        <v/>
      </c>
    </row>
    <row r="128" spans="1:17" ht="15" customHeight="1">
      <c r="A128" s="397"/>
      <c r="B128" s="49" t="str">
        <f t="shared" si="28"/>
        <v/>
      </c>
      <c r="C128" s="29" t="str">
        <f>IF($J$127&gt;0,K128,"")</f>
        <v>VILLAMARTIN</v>
      </c>
      <c r="D128" s="58" t="str">
        <f t="shared" si="29"/>
        <v/>
      </c>
      <c r="E128" s="33" t="str">
        <f>IF($L$127&lt;0,M128,"")</f>
        <v>TARIFA</v>
      </c>
      <c r="F128" s="56" t="str">
        <f t="shared" si="30"/>
        <v/>
      </c>
      <c r="G128" s="29" t="str">
        <f>IF($N$127&gt;0,O128,"")</f>
        <v>TREBUJENA</v>
      </c>
      <c r="H128" s="58" t="str">
        <f t="shared" si="31"/>
        <v/>
      </c>
      <c r="I128" s="27" t="str">
        <f>IF($P$127&lt;0,Q128,"")</f>
        <v>TARIFA</v>
      </c>
      <c r="J128" s="107"/>
      <c r="K128" s="89" t="str">
        <f t="array" ref="K128">IFERROR(INDEX(MUNICIP.SEXO,SMALL(IF(MAX(IF(RANGO.SEXO=$A$127,MUJERES.ABS,""))=IF(RANGO.SEXO=$A$127,MUJERES.ABS,""),ROW(MUJERES.ABS)-MIN(ROW(MUJERES.ABS))+1,""),ROW()-127)),"")</f>
        <v>VILLAMARTIN</v>
      </c>
      <c r="L128" s="107"/>
      <c r="M128" s="90" t="str">
        <f t="array" ref="M128">IFERROR(INDEX(MUNICIP.SEXO,SMALL(IF(MIN(IF(RANGO.SEXO=$A$127,MUJERES.ABS,""))=IF(RANGO.SEXO=$A$127,MUJERES.ABS,""),ROW(MUJERES.ABS)-MIN(ROW(MUJERES.ABS))+1,""),ROW()-127)),"")</f>
        <v>TARIFA</v>
      </c>
      <c r="N128" s="108"/>
      <c r="O128" s="89" t="str">
        <f t="array" ref="O128">IFERROR(INDEX(MUNICIP.SEXO,SMALL(IF(MAX(IF(RANGO.SEXO=$A$127,MUJERES.REV,""))=IF(RANGO.SEXO=$A$127,MUJERES.REV,""),ROW(MUJERES.REV)-MIN(ROW(MUJERES.REV))+1,""),ROW()-127)),"")</f>
        <v>TREBUJENA</v>
      </c>
      <c r="P128" s="107"/>
      <c r="Q128" s="93" t="str">
        <f t="array" ref="Q128">IFERROR(INDEX(MUNICIP.SEXO,SMALL(IF(MIN(IF(RANGO.SEXO=$A$127,MUJERES.REV,""))=IF(RANGO.SEXO=$A$127,MUJERES.REV,""),ROW(MUJERES.REV)-MIN(ROW(MUJERES.REV))+1,""),ROW()-127)),"")</f>
        <v>TARIFA</v>
      </c>
    </row>
    <row r="129" spans="1:17" ht="15" customHeight="1">
      <c r="A129" s="397"/>
      <c r="B129" s="50" t="str">
        <f t="shared" si="28"/>
        <v/>
      </c>
      <c r="C129" s="45" t="str">
        <f>IF($J$127&gt;0,K129,"")</f>
        <v/>
      </c>
      <c r="D129" s="59" t="str">
        <f t="shared" si="29"/>
        <v/>
      </c>
      <c r="E129" s="35" t="str">
        <f>IF($L$127&lt;0,M129,"")</f>
        <v/>
      </c>
      <c r="F129" s="64" t="str">
        <f t="shared" si="30"/>
        <v/>
      </c>
      <c r="G129" s="45" t="str">
        <f>IF($N$127&gt;0,O129,"")</f>
        <v/>
      </c>
      <c r="H129" s="59" t="str">
        <f t="shared" si="31"/>
        <v/>
      </c>
      <c r="I129" s="40" t="str">
        <f>IF($P$127&lt;0,Q129,"")</f>
        <v/>
      </c>
      <c r="J129" s="109"/>
      <c r="K129" s="89" t="str">
        <f t="array" ref="K129">IFERROR(INDEX(MUNICIP.SEXO,SMALL(IF(MAX(IF(RANGO.SEXO=$A$127,MUJERES.ABS,""))=IF(RANGO.SEXO=$A$127,MUJERES.ABS,""),ROW(MUJERES.ABS)-MIN(ROW(MUJERES.ABS))+1,""),ROW()-127)),"")</f>
        <v/>
      </c>
      <c r="L129" s="109"/>
      <c r="M129" s="90" t="str">
        <f t="array" ref="M129">IFERROR(INDEX(MUNICIP.SEXO,SMALL(IF(MIN(IF(RANGO.SEXO=$A$127,MUJERES.ABS,""))=IF(RANGO.SEXO=$A$127,MUJERES.ABS,""),ROW(MUJERES.ABS)-MIN(ROW(MUJERES.ABS))+1,""),ROW()-127)),"")</f>
        <v/>
      </c>
      <c r="N129" s="110"/>
      <c r="O129" s="89" t="str">
        <f t="array" ref="O129">IFERROR(INDEX(MUNICIP.SEXO,SMALL(IF(MAX(IF(RANGO.SEXO=$A$127,MUJERES.REV,""))=IF(RANGO.SEXO=$A$127,MUJERES.REV,""),ROW(MUJERES.REV)-MIN(ROW(MUJERES.REV))+1,""),ROW()-127)),"")</f>
        <v/>
      </c>
      <c r="P129" s="109"/>
      <c r="Q129" s="93" t="str">
        <f t="array" ref="Q129">IFERROR(INDEX(MUNICIP.SEXO,SMALL(IF(MIN(IF(RANGO.SEXO=$A$127,MUJERES.REV,""))=IF(RANGO.SEXO=$A$127,MUJERES.REV,""),ROW(MUJERES.REV)-MIN(ROW(MUJERES.REV))+1,""),ROW()-127)),"")</f>
        <v/>
      </c>
    </row>
    <row r="130" spans="1:17" ht="15" customHeight="1">
      <c r="A130" s="395" t="s">
        <v>56</v>
      </c>
      <c r="B130" s="49">
        <f t="shared" si="28"/>
        <v>91</v>
      </c>
      <c r="C130" s="29" t="str">
        <f>IF($J$130&gt;0,K130,"NO SUBE EN ESTE RANGO")</f>
        <v/>
      </c>
      <c r="D130" s="58">
        <f t="shared" si="29"/>
        <v>-106</v>
      </c>
      <c r="E130" s="33" t="str">
        <f>IF($L$130&lt;0,M130,"NO BAJA EN ESTE RANGO")</f>
        <v/>
      </c>
      <c r="F130" s="66">
        <f t="shared" si="30"/>
        <v>2.3401450230718525E-2</v>
      </c>
      <c r="G130" s="29" t="str">
        <f>IF($N$130&gt;0,O130,"NO SUBE EN ESTE RANGO")</f>
        <v/>
      </c>
      <c r="H130" s="70">
        <f t="shared" si="31"/>
        <v>-4.3407043407043405E-2</v>
      </c>
      <c r="I130" s="27" t="str">
        <f>IF($P$130&lt;0,Q130,"NO BAJA EN ESTE RANGO")</f>
        <v/>
      </c>
      <c r="J130" s="107">
        <f t="array" ref="J130">+MAX(IF(RANGO.SEXO=$A130,MUJERES.ABS))</f>
        <v>91</v>
      </c>
      <c r="K130" s="95" t="str">
        <f t="array" ref="K130">IFERROR(INDEX(MUNICIP.SEXO,SMALL(IF(MAX(IF(RANGO.SEXO=$A$130,MUJERES.ABS,""))=IF(RANGO.SEXO=$A$130,MUJERES.ABS,""),ROW(MUJERES.ABS)-MIN(ROW(MUJERES.ABS))+1,""),ROW()-130)),"")</f>
        <v/>
      </c>
      <c r="L130" s="107">
        <f t="array" ref="L130">+MIN(IF(RANGO.SEXO=$A130,MUJERES.ABS))</f>
        <v>-106</v>
      </c>
      <c r="M130" s="96" t="str">
        <f t="array" ref="M130">IFERROR(INDEX(MUNICIP.SEXO,SMALL(IF(MIN(IF(RANGO.SEXO=$A$130,MUJERES.ABS,""))=IF(RANGO.SEXO=$A$130,MUJERES.ABS,""),ROW(MUJERES.ABS)-MIN(ROW(MUJERES.ABS))+1,""),ROW()-130)),"")</f>
        <v/>
      </c>
      <c r="N130" s="111">
        <f t="array" ref="N130">+MAX(IF(RANGO.SEXO=$A130,MUJERES.REV))</f>
        <v>2.3401450230718525E-2</v>
      </c>
      <c r="O130" s="95" t="str">
        <f t="array" ref="O130">IFERROR(INDEX(MUNICIP.SEXO,SMALL(IF(MAX(IF(RANGO.SEXO=$A$130,MUJERES.REV,""))=IF(RANGO.SEXO=$A$130,MUJERES.REV,""),ROW(MUJERES.REV)-MIN(ROW(MUJERES.REV))+1,""),ROW()-130)),"")</f>
        <v/>
      </c>
      <c r="P130" s="112">
        <f t="array" ref="P130">+MIN(IF(RANGO.SEXO=$A130,MUJERES.REV))</f>
        <v>-4.3407043407043405E-2</v>
      </c>
      <c r="Q130" s="97" t="str">
        <f t="array" ref="Q130">IFERROR(INDEX(MUNICIP.SEXO,SMALL(IF(MIN(IF(RANGO.SEXO=$A$130,MUJERES.REV,""))=IF(RANGO.SEXO=$A$130,MUJERES.REV,""),ROW(MUJERES.REV)-MIN(ROW(MUJERES.REV))+1,""),ROW()-130)),"")</f>
        <v/>
      </c>
    </row>
    <row r="131" spans="1:17" ht="15" customHeight="1">
      <c r="A131" s="395"/>
      <c r="B131" s="49" t="str">
        <f t="shared" si="28"/>
        <v/>
      </c>
      <c r="C131" s="29" t="str">
        <f>IF($J$130&gt;0,K131,"")</f>
        <v xml:space="preserve">CADIZ </v>
      </c>
      <c r="D131" s="58" t="str">
        <f t="shared" si="29"/>
        <v/>
      </c>
      <c r="E131" s="33" t="str">
        <f>IF($L$130&lt;0,M131,"")</f>
        <v>BARBATE</v>
      </c>
      <c r="F131" s="56" t="str">
        <f t="shared" si="30"/>
        <v/>
      </c>
      <c r="G131" s="29" t="str">
        <f>IF($N$130&gt;0,O131,"")</f>
        <v>PUERTO REAL</v>
      </c>
      <c r="H131" s="58" t="str">
        <f t="shared" si="31"/>
        <v/>
      </c>
      <c r="I131" s="27" t="str">
        <f>IF($P$130&lt;0,Q131,"")</f>
        <v>BARBATE</v>
      </c>
      <c r="J131" s="107"/>
      <c r="K131" s="95" t="str">
        <f t="array" ref="K131">IFERROR(INDEX(MUNICIP.SEXO,SMALL(IF(MAX(IF(RANGO.SEXO=$A$130,MUJERES.ABS,""))=IF(RANGO.SEXO=$A$130,MUJERES.ABS,""),ROW(MUJERES.ABS)-MIN(ROW(MUJERES.ABS))+1,""),ROW()-130)),"")</f>
        <v xml:space="preserve">CADIZ </v>
      </c>
      <c r="L131" s="107"/>
      <c r="M131" s="96" t="str">
        <f t="array" ref="M131">IFERROR(INDEX(MUNICIP.SEXO,SMALL(IF(MIN(IF(RANGO.SEXO=$A$130,MUJERES.ABS,""))=IF(RANGO.SEXO=$A$130,MUJERES.ABS,""),ROW(MUJERES.ABS)-MIN(ROW(MUJERES.ABS))+1,""),ROW()-130)),"")</f>
        <v>BARBATE</v>
      </c>
      <c r="N131" s="108"/>
      <c r="O131" s="95" t="str">
        <f t="array" ref="O131">IFERROR(INDEX(MUNICIP.SEXO,SMALL(IF(MAX(IF(RANGO.SEXO=$A$130,MUJERES.REV,""))=IF(RANGO.SEXO=$A$130,MUJERES.REV,""),ROW(MUJERES.REV)-MIN(ROW(MUJERES.REV))+1,""),ROW()-130)),"")</f>
        <v>PUERTO REAL</v>
      </c>
      <c r="P131" s="107"/>
      <c r="Q131" s="97" t="str">
        <f t="array" ref="Q131">IFERROR(INDEX(MUNICIP.SEXO,SMALL(IF(MIN(IF(RANGO.SEXO=$A$130,MUJERES.REV,""))=IF(RANGO.SEXO=$A$130,MUJERES.REV,""),ROW(MUJERES.REV)-MIN(ROW(MUJERES.REV))+1,""),ROW()-130)),"")</f>
        <v>BARBATE</v>
      </c>
    </row>
    <row r="132" spans="1:17" ht="15" customHeight="1" thickBot="1">
      <c r="A132" s="396"/>
      <c r="B132" s="54" t="str">
        <f t="shared" si="28"/>
        <v/>
      </c>
      <c r="C132" s="41" t="str">
        <f>IF($J$130&gt;0,K132,"")</f>
        <v/>
      </c>
      <c r="D132" s="71" t="str">
        <f t="shared" si="29"/>
        <v/>
      </c>
      <c r="E132" s="43" t="str">
        <f>IF($L$130&lt;0,M132,"")</f>
        <v/>
      </c>
      <c r="F132" s="67" t="str">
        <f t="shared" si="30"/>
        <v/>
      </c>
      <c r="G132" s="41" t="str">
        <f>IF($N$130&gt;0,O132,"")</f>
        <v/>
      </c>
      <c r="H132" s="71" t="str">
        <f t="shared" si="31"/>
        <v/>
      </c>
      <c r="I132" s="28" t="str">
        <f>IF($P$130&lt;0,Q132,"")</f>
        <v/>
      </c>
      <c r="J132" s="113"/>
      <c r="K132" s="95" t="str">
        <f t="array" ref="K132">IFERROR(INDEX(MUNICIP.SEXO,SMALL(IF(MAX(IF(RANGO.SEXO=$A$130,MUJERES.ABS,""))=IF(RANGO.SEXO=$A$130,MUJERES.ABS,""),ROW(MUJERES.ABS)-MIN(ROW(MUJERES.ABS))+1,""),ROW()-130)),"")</f>
        <v/>
      </c>
      <c r="L132" s="113"/>
      <c r="M132" s="96" t="str">
        <f t="array" ref="M132">IFERROR(INDEX(MUNICIP.SEXO,SMALL(IF(MIN(IF(RANGO.SEXO=$A$130,MUJERES.ABS,""))=IF(RANGO.SEXO=$A$130,MUJERES.ABS,""),ROW(MUJERES.ABS)-MIN(ROW(MUJERES.ABS))+1,""),ROW()-130)),"")</f>
        <v/>
      </c>
      <c r="N132" s="114"/>
      <c r="O132" s="95" t="str">
        <f t="array" ref="O132">IFERROR(INDEX(MUNICIP.SEXO,SMALL(IF(MAX(IF(RANGO.SEXO=$A$130,MUJERES.REV,""))=IF(RANGO.SEXO=$A$130,MUJERES.REV,""),ROW(MUJERES.REV)-MIN(ROW(MUJERES.REV))+1,""),ROW()-130)),"")</f>
        <v/>
      </c>
      <c r="P132" s="113"/>
      <c r="Q132" s="97" t="str">
        <f t="array" ref="Q132">IFERROR(INDEX(MUNICIP.SEXO,SMALL(IF(MIN(IF(RANGO.SEXO=$A$130,MUJERES.REV,""))=IF(RANGO.SEXO=$A$130,MUJERES.REV,""),ROW(MUJERES.REV)-MIN(ROW(MUJERES.REV))+1,""),ROW()-130)),"")</f>
        <v/>
      </c>
    </row>
    <row r="133" spans="1:17" ht="33" customHeight="1" thickTop="1">
      <c r="A133" s="16"/>
      <c r="B133" s="16"/>
      <c r="C133" s="16"/>
      <c r="D133" s="16"/>
      <c r="E133" s="16"/>
      <c r="F133" s="16"/>
      <c r="G133" s="16"/>
      <c r="H133" s="16"/>
      <c r="I133" s="16"/>
    </row>
    <row r="134" spans="1:17" s="12" customFormat="1" ht="24.95" customHeight="1" thickBot="1">
      <c r="A134" s="25" t="str">
        <f>"COMPARATIVA INTERMENSUAL DE PARO REGISTRADO POR EDAD ("&amp;J2&amp;" - "&amp;K2&amp;")"</f>
        <v>COMPARATIVA INTERMENSUAL DE PARO REGISTRADO POR EDAD (MARZO 2022 - FEBRERO 2022)</v>
      </c>
      <c r="B134" s="26"/>
      <c r="C134" s="26"/>
      <c r="D134" s="26"/>
      <c r="E134" s="26"/>
      <c r="F134" s="26"/>
      <c r="G134" s="26"/>
      <c r="H134" s="26"/>
      <c r="I134" s="26"/>
      <c r="J134" s="11"/>
    </row>
    <row r="135" spans="1:17" s="13" customFormat="1" ht="9.75" customHeight="1" thickTop="1">
      <c r="A135" s="18"/>
      <c r="B135" s="18"/>
      <c r="C135" s="18"/>
      <c r="D135" s="18"/>
      <c r="E135" s="18"/>
      <c r="F135" s="18"/>
      <c r="G135" s="18"/>
      <c r="H135" s="18"/>
      <c r="I135" s="18"/>
      <c r="J135" s="11"/>
    </row>
    <row r="136" spans="1:17" s="13" customFormat="1" ht="18.75" customHeight="1">
      <c r="A136" s="404" t="s">
        <v>77</v>
      </c>
      <c r="B136" s="404"/>
      <c r="C136" s="404"/>
      <c r="D136" s="404"/>
      <c r="E136" s="404"/>
      <c r="F136" s="404" t="s">
        <v>69</v>
      </c>
      <c r="G136" s="404"/>
      <c r="H136" s="404" t="s">
        <v>70</v>
      </c>
      <c r="I136" s="410"/>
      <c r="J136" s="11"/>
    </row>
    <row r="137" spans="1:17" s="13" customFormat="1" ht="18.75">
      <c r="A137" s="404" t="s">
        <v>79</v>
      </c>
      <c r="B137" s="404"/>
      <c r="C137" s="404"/>
      <c r="D137" s="411" t="str">
        <f>"&lt;25 AÑOS - El paro "&amp;IF(F137&gt;0,"SUBE en: ",IF(F137&lt;0,"BAJA en: ","NO VARIA: "))</f>
        <v xml:space="preserve">&lt;25 AÑOS - El paro SUBE en: </v>
      </c>
      <c r="E137" s="412"/>
      <c r="F137" s="413">
        <f>+'PARO EDAD'!$I$50</f>
        <v>147</v>
      </c>
      <c r="G137" s="414"/>
      <c r="H137" s="415">
        <f>+'PARO EDAD'!$L$50</f>
        <v>1.1729971273539738E-2</v>
      </c>
      <c r="I137" s="416"/>
      <c r="J137" s="11"/>
    </row>
    <row r="138" spans="1:17" s="13" customFormat="1" ht="18.75">
      <c r="A138" s="404"/>
      <c r="B138" s="404"/>
      <c r="C138" s="404"/>
      <c r="D138" s="417" t="str">
        <f>"ENTRE 25 Y 44 AÑOS - El paro "&amp;IF(F138&gt;0,"SUBE en: ",IF(F138&lt;0,"BAJA en: ","NO VARIA"))</f>
        <v xml:space="preserve">ENTRE 25 Y 44 AÑOS - El paro BAJA en: </v>
      </c>
      <c r="E138" s="418"/>
      <c r="F138" s="419">
        <f>+'PARO EDAD'!$J$50</f>
        <v>-2</v>
      </c>
      <c r="G138" s="419"/>
      <c r="H138" s="420">
        <f>+'PARO EDAD'!$M$50</f>
        <v>-3.1571636042179706E-5</v>
      </c>
      <c r="I138" s="421"/>
      <c r="J138" s="11"/>
    </row>
    <row r="139" spans="1:17" s="13" customFormat="1" ht="19.5" thickBot="1">
      <c r="A139" s="427"/>
      <c r="B139" s="427"/>
      <c r="C139" s="427"/>
      <c r="D139" s="422" t="str">
        <f>"≥ 45 AÑOS - El paro "&amp;IF(F139&gt;0,"SUBE en: ",IF(F139&lt;0,"BAJA en: ","NO VARIA"))</f>
        <v xml:space="preserve">≥ 45 AÑOS - El paro SUBE en: </v>
      </c>
      <c r="E139" s="423"/>
      <c r="F139" s="424">
        <f>+'PARO EDAD'!$K$50</f>
        <v>851</v>
      </c>
      <c r="G139" s="424"/>
      <c r="H139" s="425">
        <f>+'PARO EDAD'!$N$50</f>
        <v>1.0848365096564472E-2</v>
      </c>
      <c r="I139" s="426"/>
      <c r="J139" s="11"/>
    </row>
    <row r="140" spans="1:17" s="13" customFormat="1" ht="9" customHeight="1" thickTop="1">
      <c r="A140" s="18"/>
      <c r="B140" s="18"/>
      <c r="C140" s="18"/>
      <c r="D140" s="18"/>
      <c r="E140" s="18"/>
      <c r="F140" s="18"/>
      <c r="G140" s="18"/>
      <c r="H140" s="18"/>
      <c r="I140" s="18"/>
      <c r="J140" s="11"/>
    </row>
    <row r="141" spans="1:17" s="12" customFormat="1" ht="38.25" customHeight="1">
      <c r="A141" s="72" t="s">
        <v>53</v>
      </c>
      <c r="B141" s="404" t="s">
        <v>61</v>
      </c>
      <c r="C141" s="404"/>
      <c r="D141" s="404"/>
      <c r="E141" s="404"/>
      <c r="F141" s="404" t="s">
        <v>62</v>
      </c>
      <c r="G141" s="404"/>
      <c r="H141" s="404"/>
      <c r="I141" s="410"/>
      <c r="J141" s="13"/>
    </row>
    <row r="142" spans="1:17" ht="16.5">
      <c r="A142" s="408" t="s">
        <v>66</v>
      </c>
      <c r="B142" s="408"/>
      <c r="C142" s="408"/>
      <c r="D142" s="408"/>
      <c r="E142" s="408"/>
      <c r="F142" s="408"/>
      <c r="G142" s="408"/>
      <c r="H142" s="408"/>
      <c r="I142" s="409"/>
    </row>
    <row r="143" spans="1:17" ht="16.5">
      <c r="A143" s="76"/>
      <c r="B143" s="394" t="s">
        <v>82</v>
      </c>
      <c r="C143" s="392"/>
      <c r="D143" s="391" t="s">
        <v>83</v>
      </c>
      <c r="E143" s="392"/>
      <c r="F143" s="391" t="s">
        <v>82</v>
      </c>
      <c r="G143" s="392"/>
      <c r="H143" s="391" t="s">
        <v>83</v>
      </c>
      <c r="I143" s="393"/>
      <c r="J143" s="9"/>
    </row>
    <row r="144" spans="1:17" ht="15" customHeight="1">
      <c r="A144" s="398" t="s">
        <v>55</v>
      </c>
      <c r="B144" s="36">
        <f t="shared" ref="B144:B152" si="32">+IF(J144&gt;0,J144,"")</f>
        <v>8</v>
      </c>
      <c r="C144" s="44" t="str">
        <f>IF($J$144&gt;0,K144,"NO SUBE EN ESTE RANGO")</f>
        <v/>
      </c>
      <c r="D144" s="51">
        <f t="shared" ref="D144:D152" si="33">+IF(L144&lt;0,L144,"")</f>
        <v>-7</v>
      </c>
      <c r="E144" s="31" t="str">
        <f>IF($L$144&lt;0,M144,"NO BAJA EN ESTE RANGO")</f>
        <v/>
      </c>
      <c r="F144" s="130">
        <f t="shared" ref="F144:F152" si="34">+IF(N144&gt;0,N144,"")</f>
        <v>0.38461538461538464</v>
      </c>
      <c r="G144" s="44" t="str">
        <f>IF($N$144&gt;0,O144,"NO SUBE EN ESTE RANGO")</f>
        <v/>
      </c>
      <c r="H144" s="137">
        <f t="shared" ref="H144:H152" si="35">+IF(P144&lt;0,P144,"")</f>
        <v>-0.4375</v>
      </c>
      <c r="I144" s="37" t="str">
        <f>IF($P$144&lt;0,Q144,"NO BAJA EN ESTE RANGO")</f>
        <v/>
      </c>
      <c r="J144" s="88">
        <f t="array" ref="J144">+MAX(IF(RANGO.EDAD=$A144,MENOS25.ABS))</f>
        <v>8</v>
      </c>
      <c r="K144" s="89" t="str">
        <f t="array" ref="K144">IFERROR(INDEX(MUNICIP.EDAD,SMALL(IF(MAX(IF(RANGO.EDAD=$A$144,MENOS25.ABS,""))=IF(RANGO.EDAD=$A$144,MENOS25.ABS,""),ROW(MENOS25.ABS)-MIN(ROW(MENOS25.ABS))+1,""),ROW()-144)),"")</f>
        <v/>
      </c>
      <c r="L144" s="88">
        <f t="array" ref="L144">+MIN(IF(RANGO.EDAD=$A144,MENOS25.ABS))</f>
        <v>-7</v>
      </c>
      <c r="M144" s="90" t="str">
        <f t="array" ref="M144">IFERROR(INDEX(MUNICIP.EDAD,SMALL(IF(MIN(IF(RANGO.EDAD=$A$144,MENOS25.ABS,""))=IF(RANGO.EDAD=$A$144,MENOS25.ABS,""),ROW(MENOS25.ABS)-MIN(ROW(MENOS25.ABS))+1,""),ROW()-144)),"")</f>
        <v/>
      </c>
      <c r="N144" s="91">
        <f t="array" ref="N144">+MAX(IF(RANGO.EDAD=$A144,MENOR25.REV))</f>
        <v>0.38461538461538464</v>
      </c>
      <c r="O144" s="89" t="str">
        <f t="array" ref="O144">IFERROR(INDEX(MUNICIP.EDAD,SMALL(IF(MAX(IF(RANGO.EDAD=$A$144,MENOR25.REV,""))=IF(RANGO.EDAD=$A$144,MENOR25.REV,""),ROW(MENOR25.REV)-MIN(ROW(MENOR25.REV))+1,""),ROW()-144)),"")</f>
        <v/>
      </c>
      <c r="P144" s="92">
        <f t="array" ref="P144">+MIN(IF(RANGO.EDAD=$A144,MENOR25.REV))</f>
        <v>-0.4375</v>
      </c>
      <c r="Q144" s="93" t="str">
        <f t="array" ref="Q144">IFERROR(INDEX(MUNICIP.EDAD,SMALL(IF(MIN(IF(RANGO.EDAD=$A$144,MENOR25.REV,""))=IF(RANGO.EDAD=$A$144,MENOR25.REV,""),ROW(MENOR25.REV)-MIN(ROW(MENOR25.REV))+1,""),ROW()-144)),"")</f>
        <v/>
      </c>
    </row>
    <row r="145" spans="1:17" ht="15" customHeight="1">
      <c r="A145" s="399"/>
      <c r="B145" s="52" t="str">
        <f t="shared" si="32"/>
        <v/>
      </c>
      <c r="C145" s="29" t="str">
        <f>IF($J$144&gt;0,K145,"")</f>
        <v>ESPERA</v>
      </c>
      <c r="D145" s="52" t="str">
        <f t="shared" si="33"/>
        <v/>
      </c>
      <c r="E145" s="33" t="str">
        <f>IF($L$144&lt;0,M145,"")</f>
        <v>SAN MARTÍN DEL TESORILLO</v>
      </c>
      <c r="F145" s="29" t="str">
        <f t="shared" si="34"/>
        <v/>
      </c>
      <c r="G145" s="29" t="str">
        <f>IF($N$144&gt;0,O145,"")</f>
        <v>ALGAR</v>
      </c>
      <c r="H145" s="52" t="str">
        <f t="shared" si="35"/>
        <v/>
      </c>
      <c r="I145" s="27" t="str">
        <f>IF($P$144&lt;0,Q145,"")</f>
        <v>SAN MARTÍN DEL TESORILLO</v>
      </c>
      <c r="J145" s="94"/>
      <c r="K145" s="89" t="str">
        <f t="array" ref="K145">IFERROR(INDEX(MUNICIP.EDAD,SMALL(IF(MAX(IF(RANGO.EDAD=$A$144,MENOS25.ABS,""))=IF(RANGO.EDAD=$A$144,MENOS25.ABS,""),ROW(MENOS25.ABS)-MIN(ROW(MENOS25.ABS))+1,""),ROW()-144)),"")</f>
        <v>ESPERA</v>
      </c>
      <c r="L145" s="94"/>
      <c r="M145" s="90" t="str">
        <f t="array" ref="M145">IFERROR(INDEX(MUNICIP.EDAD,SMALL(IF(MIN(IF(RANGO.EDAD=$A$144,MENOS25.ABS,""))=IF(RANGO.EDAD=$A$144,MENOS25.ABS,""),ROW(MENOS25.ABS)-MIN(ROW(MENOS25.ABS))+1,""),ROW()-144)),"")</f>
        <v>SAN MARTÍN DEL TESORILLO</v>
      </c>
      <c r="N145" s="95"/>
      <c r="O145" s="89" t="str">
        <f t="array" ref="O145">IFERROR(INDEX(MUNICIP.EDAD,SMALL(IF(MAX(IF(RANGO.EDAD=$A$144,MENOR25.REV,""))=IF(RANGO.EDAD=$A$144,MENOR25.REV,""),ROW(MENOR25.REV)-MIN(ROW(MENOR25.REV))+1,""),ROW()-144)),"")</f>
        <v>ALGAR</v>
      </c>
      <c r="P145" s="94"/>
      <c r="Q145" s="93" t="str">
        <f t="array" ref="Q145">IFERROR(INDEX(MUNICIP.EDAD,SMALL(IF(MIN(IF(RANGO.EDAD=$A$144,MENOR25.REV,""))=IF(RANGO.EDAD=$A$144,MENOR25.REV,""),ROW(MENOR25.REV)-MIN(ROW(MENOR25.REV))+1,""),ROW()-144)),"")</f>
        <v>SAN MARTÍN DEL TESORILLO</v>
      </c>
    </row>
    <row r="146" spans="1:17" ht="15" customHeight="1">
      <c r="A146" s="399"/>
      <c r="B146" s="52" t="str">
        <f t="shared" si="32"/>
        <v/>
      </c>
      <c r="C146" s="29" t="str">
        <f>IF($J$144&gt;0,K146,"")</f>
        <v/>
      </c>
      <c r="D146" s="52" t="str">
        <f t="shared" si="33"/>
        <v/>
      </c>
      <c r="E146" s="33" t="str">
        <f>IF($L$144&lt;0,M146,"")</f>
        <v/>
      </c>
      <c r="F146" s="29" t="str">
        <f t="shared" si="34"/>
        <v/>
      </c>
      <c r="G146" s="29" t="str">
        <f>IF($N$144&gt;0,O146,"")</f>
        <v>ZAHARA DE LA SIERRA</v>
      </c>
      <c r="H146" s="52" t="str">
        <f t="shared" si="35"/>
        <v/>
      </c>
      <c r="I146" s="27" t="str">
        <f>IF($P$144&lt;0,Q146,"")</f>
        <v/>
      </c>
      <c r="J146" s="94"/>
      <c r="K146" s="89" t="str">
        <f t="array" ref="K146">IFERROR(INDEX(MUNICIP.EDAD,SMALL(IF(MAX(IF(RANGO.EDAD=$A$144,MENOS25.ABS,""))=IF(RANGO.EDAD=$A$144,MENOS25.ABS,""),ROW(MENOS25.ABS)-MIN(ROW(MENOS25.ABS))+1,""),ROW()-144)),"")</f>
        <v/>
      </c>
      <c r="L146" s="94"/>
      <c r="M146" s="90" t="str">
        <f t="array" ref="M146">IFERROR(INDEX(MUNICIP.EDAD,SMALL(IF(MIN(IF(RANGO.EDAD=$A$144,MENOS25.ABS,""))=IF(RANGO.EDAD=$A$144,MENOS25.ABS,""),ROW(MENOS25.ABS)-MIN(ROW(MENOS25.ABS))+1,""),ROW()-144)),"")</f>
        <v/>
      </c>
      <c r="N146" s="95"/>
      <c r="O146" s="89" t="str">
        <f t="array" ref="O146">IFERROR(INDEX(MUNICIP.EDAD,SMALL(IF(MAX(IF(RANGO.EDAD=$A$144,MENOR25.REV,""))=IF(RANGO.EDAD=$A$144,MENOR25.REV,""),ROW(MENOR25.REV)-MIN(ROW(MENOR25.REV))+1,""),ROW()-144)),"")</f>
        <v>ZAHARA DE LA SIERRA</v>
      </c>
      <c r="P146" s="94"/>
      <c r="Q146" s="93" t="str">
        <f t="array" ref="Q146">IFERROR(INDEX(MUNICIP.EDAD,SMALL(IF(MIN(IF(RANGO.EDAD=$A$144,MENOR25.REV,""))=IF(RANGO.EDAD=$A$144,MENOR25.REV,""),ROW(MENOR25.REV)-MIN(ROW(MENOR25.REV))+1,""),ROW()-144)),"")</f>
        <v/>
      </c>
    </row>
    <row r="147" spans="1:17" ht="15" customHeight="1">
      <c r="A147" s="397" t="s">
        <v>54</v>
      </c>
      <c r="B147" s="51">
        <f t="shared" si="32"/>
        <v>14</v>
      </c>
      <c r="C147" s="44" t="str">
        <f>IF($J$147&gt;0,K147,"NO SUBE EN ESTE RANGO")</f>
        <v/>
      </c>
      <c r="D147" s="51">
        <f t="shared" si="33"/>
        <v>-26</v>
      </c>
      <c r="E147" s="31" t="str">
        <f>IF($L$147&lt;0,M147,"NO BAJA EN ESTE RANGO")</f>
        <v/>
      </c>
      <c r="F147" s="63">
        <f t="shared" si="34"/>
        <v>0.20588235294117646</v>
      </c>
      <c r="G147" s="44" t="str">
        <f>IF($N$147&gt;0,O147,"NO SUBE EN ESTE RANGO")</f>
        <v/>
      </c>
      <c r="H147" s="60">
        <f t="shared" si="35"/>
        <v>-0.15662650602409639</v>
      </c>
      <c r="I147" s="37" t="str">
        <f>IF($P$147&lt;0,Q147,"NO BAJA EN ESTE RANGO")</f>
        <v/>
      </c>
      <c r="J147" s="88">
        <f t="array" ref="J147">+MAX(IF(RANGO.EDAD=$A147,MENOS25.ABS))</f>
        <v>14</v>
      </c>
      <c r="K147" s="89" t="str">
        <f t="array" ref="K147">IFERROR(INDEX(MUNICIP.EDAD,SMALL(IF(MAX(IF(RANGO.EDAD=$A$147,MENOS25.ABS,""))=IF(RANGO.EDAD=$A$147,MENOS25.ABS,""),ROW(MENOS25.ABS)-MIN(ROW(MENOS25.ABS))+1,""),ROW()-147)),"")</f>
        <v/>
      </c>
      <c r="L147" s="88">
        <f t="array" ref="L147">+MIN(IF(RANGO.EDAD=$A147,MENOS25.ABS))</f>
        <v>-26</v>
      </c>
      <c r="M147" s="90" t="str">
        <f t="array" ref="M147">IFERROR(INDEX(MUNICIP.EDAD,SMALL(IF(MIN(IF(RANGO.EDAD=$A$147,MENOS25.ABS,""))=IF(RANGO.EDAD=$A$147,MENOS25.ABS,""),ROW(MENOS25.ABS)-MIN(ROW(MENOS25.ABS))+1,""),ROW()-147)),"")</f>
        <v/>
      </c>
      <c r="N147" s="91">
        <f t="array" ref="N147">+MAX(IF(RANGO.EDAD=$A147,MENOR25.REV))</f>
        <v>0.20588235294117646</v>
      </c>
      <c r="O147" s="89" t="str">
        <f t="array" ref="O147">IFERROR(INDEX(MUNICIP.EDAD,SMALL(IF(MAX(IF(RANGO.EDAD=$A$147,MENOR25.REV,""))=IF(RANGO.EDAD=$A$147,MENOR25.REV,""),ROW(MENOR25.REV)-MIN(ROW(MENOR25.REV))+1,""),ROW()-147)),"")</f>
        <v/>
      </c>
      <c r="P147" s="92">
        <f t="array" ref="P147">+MIN(IF(RANGO.EDAD=$A147,MENOR25.REV))</f>
        <v>-0.15662650602409639</v>
      </c>
      <c r="Q147" s="93" t="str">
        <f t="array" ref="Q147">IFERROR(INDEX(MUNICIP.EDAD,SMALL(IF(MIN(IF(RANGO.EDAD=$A$147,MENOR25.REV,""))=IF(RANGO.EDAD=$A$147,MENOR25.REV,""),ROW(MENOR25.REV)-MIN(ROW(MENOR25.REV))+1,""),ROW()-147)),"")</f>
        <v/>
      </c>
    </row>
    <row r="148" spans="1:17" ht="15" customHeight="1">
      <c r="A148" s="397"/>
      <c r="B148" s="52" t="str">
        <f t="shared" si="32"/>
        <v/>
      </c>
      <c r="C148" s="29" t="str">
        <f>IF($J$147&gt;0,K148,"")</f>
        <v>TREBUJENA</v>
      </c>
      <c r="D148" s="52" t="str">
        <f t="shared" si="33"/>
        <v/>
      </c>
      <c r="E148" s="33" t="str">
        <f>IF($L$147&lt;0,M148,"")</f>
        <v>TARIFA</v>
      </c>
      <c r="F148" s="29" t="str">
        <f t="shared" si="34"/>
        <v/>
      </c>
      <c r="G148" s="29" t="str">
        <f>IF($N$147&gt;0,O148,"")</f>
        <v>TREBUJENA</v>
      </c>
      <c r="H148" s="52" t="str">
        <f t="shared" si="35"/>
        <v/>
      </c>
      <c r="I148" s="27" t="str">
        <f>IF($P$147&lt;0,Q148,"")</f>
        <v>TARIFA</v>
      </c>
      <c r="J148" s="94"/>
      <c r="K148" s="89" t="str">
        <f t="array" ref="K148">IFERROR(INDEX(MUNICIP.EDAD,SMALL(IF(MAX(IF(RANGO.EDAD=$A$147,MENOS25.ABS,""))=IF(RANGO.EDAD=$A$147,MENOS25.ABS,""),ROW(MENOS25.ABS)-MIN(ROW(MENOS25.ABS))+1,""),ROW()-147)),"")</f>
        <v>TREBUJENA</v>
      </c>
      <c r="L148" s="94"/>
      <c r="M148" s="90" t="str">
        <f t="array" ref="M148">IFERROR(INDEX(MUNICIP.EDAD,SMALL(IF(MIN(IF(RANGO.EDAD=$A$147,MENOS25.ABS,""))=IF(RANGO.EDAD=$A$147,MENOS25.ABS,""),ROW(MENOS25.ABS)-MIN(ROW(MENOS25.ABS))+1,""),ROW()-147)),"")</f>
        <v>TARIFA</v>
      </c>
      <c r="N148" s="95"/>
      <c r="O148" s="89" t="str">
        <f t="array" ref="O148">IFERROR(INDEX(MUNICIP.EDAD,SMALL(IF(MAX(IF(RANGO.EDAD=$A$147,MENOR25.REV,""))=IF(RANGO.EDAD=$A$147,MENOR25.REV,""),ROW(MENOR25.REV)-MIN(ROW(MENOR25.REV))+1,""),ROW()-147)),"")</f>
        <v>TREBUJENA</v>
      </c>
      <c r="P148" s="94"/>
      <c r="Q148" s="93" t="str">
        <f t="array" ref="Q148">IFERROR(INDEX(MUNICIP.EDAD,SMALL(IF(MIN(IF(RANGO.EDAD=$A$147,MENOR25.REV,""))=IF(RANGO.EDAD=$A$147,MENOR25.REV,""),ROW(MENOR25.REV)-MIN(ROW(MENOR25.REV))+1,""),ROW()-147)),"")</f>
        <v>TARIFA</v>
      </c>
    </row>
    <row r="149" spans="1:17" ht="15" customHeight="1">
      <c r="A149" s="397"/>
      <c r="B149" s="61" t="str">
        <f t="shared" si="32"/>
        <v/>
      </c>
      <c r="C149" s="45" t="str">
        <f>IF($J$147&gt;0,K149,"")</f>
        <v>VILLAMARTIN</v>
      </c>
      <c r="D149" s="61" t="str">
        <f t="shared" si="33"/>
        <v/>
      </c>
      <c r="E149" s="35" t="str">
        <f>IF($L$147&lt;0,M149,"")</f>
        <v/>
      </c>
      <c r="F149" s="45" t="str">
        <f t="shared" si="34"/>
        <v/>
      </c>
      <c r="G149" s="45" t="str">
        <f>IF($N$147&gt;0,O149,"")</f>
        <v/>
      </c>
      <c r="H149" s="61" t="str">
        <f t="shared" si="35"/>
        <v/>
      </c>
      <c r="I149" s="40" t="str">
        <f>IF($P$147&lt;0,Q149,"")</f>
        <v/>
      </c>
      <c r="J149" s="98"/>
      <c r="K149" s="89" t="str">
        <f t="array" ref="K149">IFERROR(INDEX(MUNICIP.EDAD,SMALL(IF(MAX(IF(RANGO.EDAD=$A$147,MENOS25.ABS,""))=IF(RANGO.EDAD=$A$147,MENOS25.ABS,""),ROW(MENOS25.ABS)-MIN(ROW(MENOS25.ABS))+1,""),ROW()-147)),"")</f>
        <v>VILLAMARTIN</v>
      </c>
      <c r="L149" s="98"/>
      <c r="M149" s="90" t="str">
        <f t="array" ref="M149">IFERROR(INDEX(MUNICIP.EDAD,SMALL(IF(MIN(IF(RANGO.EDAD=$A$147,MENOS25.ABS,""))=IF(RANGO.EDAD=$A$147,MENOS25.ABS,""),ROW(MENOS25.ABS)-MIN(ROW(MENOS25.ABS))+1,""),ROW()-147)),"")</f>
        <v/>
      </c>
      <c r="N149" s="99"/>
      <c r="O149" s="89" t="str">
        <f t="array" ref="O149">IFERROR(INDEX(MUNICIP.EDAD,SMALL(IF(MAX(IF(RANGO.EDAD=$A$147,MENOR25.REV,""))=IF(RANGO.EDAD=$A$147,MENOR25.REV,""),ROW(MENOR25.REV)-MIN(ROW(MENOR25.REV))+1,""),ROW()-147)),"")</f>
        <v/>
      </c>
      <c r="P149" s="98"/>
      <c r="Q149" s="93" t="str">
        <f t="array" ref="Q149">IFERROR(INDEX(MUNICIP.EDAD,SMALL(IF(MIN(IF(RANGO.EDAD=$A$147,MENOR25.REV,""))=IF(RANGO.EDAD=$A$147,MENOR25.REV,""),ROW(MENOR25.REV)-MIN(ROW(MENOR25.REV))+1,""),ROW()-147)),"")</f>
        <v/>
      </c>
    </row>
    <row r="150" spans="1:17" ht="15" customHeight="1">
      <c r="A150" s="395" t="s">
        <v>56</v>
      </c>
      <c r="B150" s="52">
        <f t="shared" si="32"/>
        <v>96</v>
      </c>
      <c r="C150" s="29" t="str">
        <f>IF($J$150&gt;0,K150,"NO SUBE EN ESTE RANGO")</f>
        <v/>
      </c>
      <c r="D150" s="52">
        <f t="shared" si="33"/>
        <v>-38</v>
      </c>
      <c r="E150" s="33" t="str">
        <f>IF($L$150&lt;0,M150,"NO BAJA EN ESTE RANGO")</f>
        <v/>
      </c>
      <c r="F150" s="55">
        <f t="shared" si="34"/>
        <v>0.13150684931506848</v>
      </c>
      <c r="G150" s="29" t="str">
        <f>IF($N$150&gt;0,O150,"NO SUBE EN ESTE RANGO")</f>
        <v/>
      </c>
      <c r="H150" s="62">
        <f t="shared" si="35"/>
        <v>-0.12562814070351758</v>
      </c>
      <c r="I150" s="27" t="str">
        <f>IF($P$150&lt;0,Q150,"NO BAJA EN ESTE RANGO")</f>
        <v/>
      </c>
      <c r="J150" s="94">
        <f t="array" ref="J150">+MAX(IF(RANGO.EDAD=$A150,MENOS25.ABS))</f>
        <v>96</v>
      </c>
      <c r="K150" s="95" t="str">
        <f t="array" ref="K150">IFERROR(INDEX(MUNICIP.EDAD,SMALL(IF(MAX(IF(RANGO.EDAD=$A$150,MENOS25.ABS,""))=IF(RANGO.EDAD=$A$150,MENOS25.ABS,""),ROW(MENOS25.ABS)-MIN(ROW(MENOS25.ABS))+1,""),ROW()-150)),"")</f>
        <v/>
      </c>
      <c r="L150" s="94">
        <f t="array" ref="L150">+MIN(IF(RANGO.EDAD=$A150,MENOS25.ABS))</f>
        <v>-38</v>
      </c>
      <c r="M150" s="96" t="str">
        <f t="array" ref="M150">IFERROR(INDEX(MUNICIP.EDAD,SMALL(IF(MIN(IF(RANGO.EDAD=$A$150,MENOS25.ABS,""))=IF(RANGO.EDAD=$A$150,MENOS25.ABS,""),ROW(MENOS25.ABS)-MIN(ROW(MENOS25.ABS))+1,""),ROW()-150)),"")</f>
        <v/>
      </c>
      <c r="N150" s="100">
        <f t="array" ref="N150">+MAX(IF(RANGO.EDAD=$A150,MENOR25.REV))</f>
        <v>0.13150684931506848</v>
      </c>
      <c r="O150" s="95" t="str">
        <f t="array" ref="O150">IFERROR(INDEX(MUNICIP.EDAD,SMALL(IF(MAX(IF(RANGO.EDAD=$A$150,MENOR25.REV,""))=IF(RANGO.EDAD=$A$150,MENOR25.REV,""),ROW(MENOR25.REV)-MIN(ROW(MENOR25.REV))+1,""),ROW()-150)),"")</f>
        <v/>
      </c>
      <c r="P150" s="101">
        <f t="array" ref="P150">+MIN(IF(RANGO.EDAD=$A150,MENOR25.REV))</f>
        <v>-0.12562814070351758</v>
      </c>
      <c r="Q150" s="97" t="str">
        <f t="array" ref="Q150">IFERROR(INDEX(MUNICIP.EDAD,SMALL(IF(MIN(IF(RANGO.EDAD=$A$150,MENOR25.REV,""))=IF(RANGO.EDAD=$A$150,MENOR25.REV,""),ROW(MENOR25.REV)-MIN(ROW(MENOR25.REV))+1,""),ROW()-150)),"")</f>
        <v/>
      </c>
    </row>
    <row r="151" spans="1:17" ht="15" customHeight="1">
      <c r="A151" s="395"/>
      <c r="B151" s="52" t="str">
        <f t="shared" si="32"/>
        <v/>
      </c>
      <c r="C151" s="29" t="str">
        <f>IF($J$150&gt;0,K151,"")</f>
        <v xml:space="preserve">CADIZ </v>
      </c>
      <c r="D151" s="52" t="str">
        <f t="shared" si="33"/>
        <v/>
      </c>
      <c r="E151" s="33" t="str">
        <f>IF($L$150&lt;0,M151,"")</f>
        <v>BARBATE</v>
      </c>
      <c r="F151" s="29" t="str">
        <f t="shared" si="34"/>
        <v/>
      </c>
      <c r="G151" s="29" t="str">
        <f>IF($N$150&gt;0,O151,"")</f>
        <v xml:space="preserve">CADIZ </v>
      </c>
      <c r="H151" s="52" t="str">
        <f t="shared" si="35"/>
        <v/>
      </c>
      <c r="I151" s="27" t="str">
        <f>IF($P$150&lt;0,Q151,"")</f>
        <v>CONIL DE LA FRONTERA</v>
      </c>
      <c r="J151" s="94"/>
      <c r="K151" s="95" t="str">
        <f t="array" ref="K151">IFERROR(INDEX(MUNICIP.EDAD,SMALL(IF(MAX(IF(RANGO.EDAD=$A$150,MENOS25.ABS,""))=IF(RANGO.EDAD=$A$150,MENOS25.ABS,""),ROW(MENOS25.ABS)-MIN(ROW(MENOS25.ABS))+1,""),ROW()-150)),"")</f>
        <v xml:space="preserve">CADIZ </v>
      </c>
      <c r="L151" s="94"/>
      <c r="M151" s="96" t="str">
        <f t="array" ref="M151">IFERROR(INDEX(MUNICIP.EDAD,SMALL(IF(MIN(IF(RANGO.EDAD=$A$150,MENOS25.ABS,""))=IF(RANGO.EDAD=$A$150,MENOS25.ABS,""),ROW(MENOS25.ABS)-MIN(ROW(MENOS25.ABS))+1,""),ROW()-150)),"")</f>
        <v>BARBATE</v>
      </c>
      <c r="N151" s="95"/>
      <c r="O151" s="95" t="str">
        <f t="array" ref="O151">IFERROR(INDEX(MUNICIP.EDAD,SMALL(IF(MAX(IF(RANGO.EDAD=$A$150,MENOR25.REV,""))=IF(RANGO.EDAD=$A$150,MENOR25.REV,""),ROW(MENOR25.REV)-MIN(ROW(MENOR25.REV))+1,""),ROW()-150)),"")</f>
        <v xml:space="preserve">CADIZ </v>
      </c>
      <c r="P151" s="94"/>
      <c r="Q151" s="97" t="str">
        <f t="array" ref="Q151">IFERROR(INDEX(MUNICIP.EDAD,SMALL(IF(MIN(IF(RANGO.EDAD=$A$150,MENOR25.REV,""))=IF(RANGO.EDAD=$A$150,MENOR25.REV,""),ROW(MENOR25.REV)-MIN(ROW(MENOR25.REV))+1,""),ROW()-150)),"")</f>
        <v>CONIL DE LA FRONTERA</v>
      </c>
    </row>
    <row r="152" spans="1:17" ht="15" customHeight="1">
      <c r="A152" s="403"/>
      <c r="B152" s="61" t="str">
        <f t="shared" si="32"/>
        <v/>
      </c>
      <c r="C152" s="45" t="str">
        <f>IF($J$150&gt;0,K152,"")</f>
        <v/>
      </c>
      <c r="D152" s="61" t="str">
        <f t="shared" si="33"/>
        <v/>
      </c>
      <c r="E152" s="35" t="str">
        <f>IF($L$150&lt;0,M152,"")</f>
        <v/>
      </c>
      <c r="F152" s="45" t="str">
        <f t="shared" si="34"/>
        <v/>
      </c>
      <c r="G152" s="45" t="str">
        <f>IF($N$150&gt;0,O152,"")</f>
        <v/>
      </c>
      <c r="H152" s="61" t="str">
        <f t="shared" si="35"/>
        <v/>
      </c>
      <c r="I152" s="40" t="str">
        <f>IF($P$150&lt;0,Q152,"")</f>
        <v/>
      </c>
      <c r="J152" s="98"/>
      <c r="K152" s="95" t="str">
        <f t="array" ref="K152">IFERROR(INDEX(MUNICIP.EDAD,SMALL(IF(MAX(IF(RANGO.EDAD=$A$150,MENOS25.ABS,""))=IF(RANGO.EDAD=$A$150,MENOS25.ABS,""),ROW(MENOS25.ABS)-MIN(ROW(MENOS25.ABS))+1,""),ROW()-150)),"")</f>
        <v/>
      </c>
      <c r="L152" s="98"/>
      <c r="M152" s="96" t="str">
        <f t="array" ref="M152">IFERROR(INDEX(MUNICIP.EDAD,SMALL(IF(MIN(IF(RANGO.EDAD=$A$150,MENOS25.ABS,""))=IF(RANGO.EDAD=$A$150,MENOS25.ABS,""),ROW(MENOS25.ABS)-MIN(ROW(MENOS25.ABS))+1,""),ROW()-150)),"")</f>
        <v/>
      </c>
      <c r="N152" s="99"/>
      <c r="O152" s="95" t="str">
        <f t="array" ref="O152">IFERROR(INDEX(MUNICIP.EDAD,SMALL(IF(MAX(IF(RANGO.EDAD=$A$150,MENOR25.REV,""))=IF(RANGO.EDAD=$A$150,MENOR25.REV,""),ROW(MENOR25.REV)-MIN(ROW(MENOR25.REV))+1,""),ROW()-150)),"")</f>
        <v/>
      </c>
      <c r="P152" s="98"/>
      <c r="Q152" s="97" t="str">
        <f t="array" ref="Q152">IFERROR(INDEX(MUNICIP.EDAD,SMALL(IF(MIN(IF(RANGO.EDAD=$A$150,MENOR25.REV,""))=IF(RANGO.EDAD=$A$150,MENOR25.REV,""),ROW(MENOR25.REV)-MIN(ROW(MENOR25.REV))+1,""),ROW()-150)),"")</f>
        <v/>
      </c>
    </row>
    <row r="153" spans="1:17" ht="16.5">
      <c r="A153" s="400" t="s">
        <v>80</v>
      </c>
      <c r="B153" s="401"/>
      <c r="C153" s="401"/>
      <c r="D153" s="401"/>
      <c r="E153" s="401"/>
      <c r="F153" s="401"/>
      <c r="G153" s="401"/>
      <c r="H153" s="401"/>
      <c r="I153" s="402"/>
    </row>
    <row r="154" spans="1:17" ht="16.5">
      <c r="A154" s="76"/>
      <c r="B154" s="394" t="s">
        <v>82</v>
      </c>
      <c r="C154" s="392"/>
      <c r="D154" s="391" t="s">
        <v>83</v>
      </c>
      <c r="E154" s="392"/>
      <c r="F154" s="391" t="s">
        <v>82</v>
      </c>
      <c r="G154" s="392"/>
      <c r="H154" s="391" t="s">
        <v>83</v>
      </c>
      <c r="I154" s="393"/>
    </row>
    <row r="155" spans="1:17" ht="15" customHeight="1">
      <c r="A155" s="398" t="s">
        <v>55</v>
      </c>
      <c r="B155" s="36">
        <f t="shared" ref="B155:B163" si="36">+IF(J155&gt;0,J155,"")</f>
        <v>27</v>
      </c>
      <c r="C155" s="29" t="str">
        <f>IF($J$155&gt;0,K155,"NO SUBE EN ESTE RANGO")</f>
        <v/>
      </c>
      <c r="D155" s="52">
        <f t="shared" ref="D155:D163" si="37">+IF(L155&lt;0,L155,"")</f>
        <v>-7</v>
      </c>
      <c r="E155" s="33" t="str">
        <f>IF($L$155&lt;0,M155,"NO BAJA EN ESTE RANGO")</f>
        <v/>
      </c>
      <c r="F155" s="130">
        <f t="shared" ref="F155:F163" si="38">+IF(N155&gt;0,N155,"")</f>
        <v>0.16981132075471697</v>
      </c>
      <c r="G155" s="29" t="str">
        <f>IF($N$155&gt;0,O155,"NO SUBE EN ESTE RANGO")</f>
        <v/>
      </c>
      <c r="H155" s="138">
        <f t="shared" ref="H155:H163" si="39">+IF(P155&lt;0,P155,"")</f>
        <v>-0.125</v>
      </c>
      <c r="I155" s="27" t="str">
        <f>IF($P$155&lt;0,Q155,"NO BAJA EN ESTE RANGO")</f>
        <v/>
      </c>
      <c r="J155" s="88">
        <f t="array" ref="J155">+MAX(IF(RANGO.EDAD=$A155,ENTRE25.44.ABS))</f>
        <v>27</v>
      </c>
      <c r="K155" s="89" t="str">
        <f t="array" ref="K155">IFERROR(INDEX(MUNICIP.EDAD,SMALL(IF(MAX(IF(RANGO.EDAD=$A$155,ENTRE25.44.ABS,""))=IF(RANGO.EDAD=$A$155,ENTRE25.44.ABS,""),ROW(ENTRE25.44.ABS)-MIN(ROW(ENTRE25.44.ABS))+1,""),ROW()-155)),"")</f>
        <v/>
      </c>
      <c r="L155" s="88">
        <f t="array" ref="L155">+MIN(IF(RANGO.EDAD=$A155,ENTRE25.44.ABS))</f>
        <v>-7</v>
      </c>
      <c r="M155" s="90" t="str">
        <f t="array" ref="M155">IFERROR(INDEX(MUNICIP.EDAD,SMALL(IF(MIN(IF(RANGO.EDAD=$A$155,ENTRE25.44.ABS,""))=IF(RANGO.EDAD=$A$155,ENTRE25.44.ABS,""),ROW(ENTRE25.44.ABS)-MIN(ROW(ENTRE25.44.ABS))+1,""),ROW()-155)),"")</f>
        <v/>
      </c>
      <c r="N155" s="91">
        <f t="array" ref="N155">+MAX(IF(RANGO.EDAD=$A155,ENTRE25.44.REV))</f>
        <v>0.16981132075471697</v>
      </c>
      <c r="O155" s="89" t="str">
        <f t="array" ref="O155">IFERROR(INDEX(MUNICIP.EDAD,SMALL(IF(MAX(IF(RANGO.EDAD=$A$155,ENTRE25.44.REV,""))=IF(RANGO.EDAD=$A$155,ENTRE25.44.REV,""),ROW(ENTRE25.44.REV)-MIN(ROW(ENTRE25.44.REV))+1,""),ROW()-155)),"")</f>
        <v/>
      </c>
      <c r="P155" s="92">
        <f t="array" ref="P155">+MIN(IF(RANGO.EDAD=$A155,ENTRE25.44.REV))</f>
        <v>-0.125</v>
      </c>
      <c r="Q155" s="93" t="str">
        <f t="array" ref="Q155">IFERROR(INDEX(MUNICIP.EDAD,SMALL(IF(MIN(IF(RANGO.EDAD=$A$155,ENTRE25.44.REV,""))=IF(RANGO.EDAD=$A$155,ENTRE25.44.REV,""),ROW(ENTRE25.44.REV)-MIN(ROW(ENTRE25.44.REV))+1,""),ROW()-155)),"")</f>
        <v/>
      </c>
    </row>
    <row r="156" spans="1:17" ht="15" customHeight="1">
      <c r="A156" s="399"/>
      <c r="B156" s="52" t="str">
        <f t="shared" si="36"/>
        <v/>
      </c>
      <c r="C156" s="29" t="str">
        <f>IF($J$155&gt;0,K156,"")</f>
        <v>ESPERA</v>
      </c>
      <c r="D156" s="52" t="str">
        <f t="shared" si="37"/>
        <v/>
      </c>
      <c r="E156" s="33" t="str">
        <f>IF($L$155&lt;0,M156,"")</f>
        <v>CASTELLAR DE LA FRONTERA</v>
      </c>
      <c r="F156" s="29" t="str">
        <f t="shared" si="38"/>
        <v/>
      </c>
      <c r="G156" s="29" t="str">
        <f>IF($N$155&gt;0,O156,"")</f>
        <v>ALGAR</v>
      </c>
      <c r="H156" s="52" t="str">
        <f t="shared" si="39"/>
        <v/>
      </c>
      <c r="I156" s="27" t="str">
        <f>IF($P$155&lt;0,Q156,"")</f>
        <v>VILLALUENGA DEL ROSARIO</v>
      </c>
      <c r="J156" s="94"/>
      <c r="K156" s="89" t="str">
        <f t="array" ref="K156">IFERROR(INDEX(MUNICIP.EDAD,SMALL(IF(MAX(IF(RANGO.EDAD=$A$155,ENTRE25.44.ABS,""))=IF(RANGO.EDAD=$A$155,ENTRE25.44.ABS,""),ROW(ENTRE25.44.ABS)-MIN(ROW(ENTRE25.44.ABS))+1,""),ROW()-155)),"")</f>
        <v>ESPERA</v>
      </c>
      <c r="L156" s="94"/>
      <c r="M156" s="90" t="str">
        <f t="array" ref="M156">IFERROR(INDEX(MUNICIP.EDAD,SMALL(IF(MIN(IF(RANGO.EDAD=$A$155,ENTRE25.44.ABS,""))=IF(RANGO.EDAD=$A$155,ENTRE25.44.ABS,""),ROW(ENTRE25.44.ABS)-MIN(ROW(ENTRE25.44.ABS))+1,""),ROW()-155)),"")</f>
        <v>CASTELLAR DE LA FRONTERA</v>
      </c>
      <c r="N156" s="95"/>
      <c r="O156" s="89" t="str">
        <f t="array" ref="O156">IFERROR(INDEX(MUNICIP.EDAD,SMALL(IF(MAX(IF(RANGO.EDAD=$A$155,ENTRE25.44.REV,""))=IF(RANGO.EDAD=$A$155,ENTRE25.44.REV,""),ROW(ENTRE25.44.REV)-MIN(ROW(ENTRE25.44.REV))+1,""),ROW()-155)),"")</f>
        <v>ALGAR</v>
      </c>
      <c r="P156" s="94"/>
      <c r="Q156" s="93" t="str">
        <f t="array" ref="Q156">IFERROR(INDEX(MUNICIP.EDAD,SMALL(IF(MIN(IF(RANGO.EDAD=$A$155,ENTRE25.44.REV,""))=IF(RANGO.EDAD=$A$155,ENTRE25.44.REV,""),ROW(ENTRE25.44.REV)-MIN(ROW(ENTRE25.44.REV))+1,""),ROW()-155)),"")</f>
        <v>VILLALUENGA DEL ROSARIO</v>
      </c>
    </row>
    <row r="157" spans="1:17" ht="15" customHeight="1">
      <c r="A157" s="399"/>
      <c r="B157" s="52" t="str">
        <f t="shared" si="36"/>
        <v/>
      </c>
      <c r="C157" s="29" t="str">
        <f>IF($J$155&gt;0,K157,"")</f>
        <v/>
      </c>
      <c r="D157" s="52" t="str">
        <f t="shared" si="37"/>
        <v/>
      </c>
      <c r="E157" s="33" t="str">
        <f>IF($L$155&lt;0,M157,"")</f>
        <v/>
      </c>
      <c r="F157" s="29" t="str">
        <f t="shared" si="38"/>
        <v/>
      </c>
      <c r="G157" s="29" t="str">
        <f>IF($N$155&gt;0,O157,"")</f>
        <v/>
      </c>
      <c r="H157" s="52" t="str">
        <f t="shared" si="39"/>
        <v/>
      </c>
      <c r="I157" s="27" t="str">
        <f>IF($P$155&lt;0,Q157,"")</f>
        <v/>
      </c>
      <c r="J157" s="94"/>
      <c r="K157" s="89" t="str">
        <f t="array" ref="K157">IFERROR(INDEX(MUNICIP.EDAD,SMALL(IF(MAX(IF(RANGO.EDAD=$A$155,ENTRE25.44.ABS,""))=IF(RANGO.EDAD=$A$155,ENTRE25.44.ABS,""),ROW(ENTRE25.44.ABS)-MIN(ROW(ENTRE25.44.ABS))+1,""),ROW()-155)),"")</f>
        <v/>
      </c>
      <c r="L157" s="94"/>
      <c r="M157" s="90" t="str">
        <f t="array" ref="M157">IFERROR(INDEX(MUNICIP.EDAD,SMALL(IF(MIN(IF(RANGO.EDAD=$A$155,ENTRE25.44.ABS,""))=IF(RANGO.EDAD=$A$155,ENTRE25.44.ABS,""),ROW(ENTRE25.44.ABS)-MIN(ROW(ENTRE25.44.ABS))+1,""),ROW()-155)),"")</f>
        <v/>
      </c>
      <c r="N157" s="95"/>
      <c r="O157" s="89" t="str">
        <f t="array" ref="O157">IFERROR(INDEX(MUNICIP.EDAD,SMALL(IF(MAX(IF(RANGO.EDAD=$A$155,ENTRE25.44.REV,""))=IF(RANGO.EDAD=$A$155,ENTRE25.44.REV,""),ROW(ENTRE25.44.REV)-MIN(ROW(ENTRE25.44.REV))+1,""),ROW()-155)),"")</f>
        <v/>
      </c>
      <c r="P157" s="94"/>
      <c r="Q157" s="93" t="str">
        <f t="array" ref="Q157">IFERROR(INDEX(MUNICIP.EDAD,SMALL(IF(MIN(IF(RANGO.EDAD=$A$155,ENTRE25.44.REV,""))=IF(RANGO.EDAD=$A$155,ENTRE25.44.REV,""),ROW(ENTRE25.44.REV)-MIN(ROW(ENTRE25.44.REV))+1,""),ROW()-155)),"")</f>
        <v/>
      </c>
    </row>
    <row r="158" spans="1:17" ht="15" customHeight="1">
      <c r="A158" s="397" t="s">
        <v>54</v>
      </c>
      <c r="B158" s="51">
        <f t="shared" si="36"/>
        <v>44</v>
      </c>
      <c r="C158" s="44" t="str">
        <f>IF($J$158&gt;0,K158,"NO SUBE EN ESTE RANGO")</f>
        <v/>
      </c>
      <c r="D158" s="51">
        <f t="shared" si="37"/>
        <v>-62</v>
      </c>
      <c r="E158" s="31" t="str">
        <f>IF($L$158&lt;0,M158,"NO BAJA EN ESTE RANGO")</f>
        <v/>
      </c>
      <c r="F158" s="63">
        <f t="shared" si="38"/>
        <v>6.6465256797583083E-2</v>
      </c>
      <c r="G158" s="44" t="str">
        <f>IF($N$158&gt;0,O158,"NO SUBE EN ESTE RANGO")</f>
        <v/>
      </c>
      <c r="H158" s="60">
        <f t="shared" si="39"/>
        <v>-7.2941176470588232E-2</v>
      </c>
      <c r="I158" s="37" t="str">
        <f>IF($P$158&lt;0,Q158,"NO BAJA EN ESTE RANGO")</f>
        <v/>
      </c>
      <c r="J158" s="88">
        <f t="array" ref="J158">+MAX(IF(RANGO.EDAD=$A158,ENTRE25.44.ABS))</f>
        <v>44</v>
      </c>
      <c r="K158" s="89" t="str">
        <f t="array" ref="K158">IFERROR(INDEX(MUNICIP.EDAD,SMALL(IF(MAX(IF(RANGO.EDAD=$A$158,ENTRE25.44.ABS,""))=IF(RANGO.EDAD=$A$158,ENTRE25.44.ABS,""),ROW(ENTRE25.44.ABS)-MIN(ROW(ENTRE25.44.ABS))+1,""),ROW()-158)),"")</f>
        <v/>
      </c>
      <c r="L158" s="88">
        <f t="array" ref="L158">+MIN(IF(RANGO.EDAD=$A158,ENTRE25.44.ABS))</f>
        <v>-62</v>
      </c>
      <c r="M158" s="90" t="str">
        <f t="array" ref="M158">IFERROR(INDEX(MUNICIP.EDAD,SMALL(IF(MIN(IF(RANGO.EDAD=$A$158,ENTRE25.44.ABS,""))=IF(RANGO.EDAD=$A$158,ENTRE25.44.ABS,""),ROW(ENTRE25.44.ABS)-MIN(ROW(ENTRE25.44.ABS))+1,""),ROW()-158)),"")</f>
        <v/>
      </c>
      <c r="N158" s="91">
        <f t="array" ref="N158">+MAX(IF(RANGO.EDAD=$A158,ENTRE25.44.REV))</f>
        <v>6.6465256797583083E-2</v>
      </c>
      <c r="O158" s="89" t="str">
        <f t="array" ref="O158">IFERROR(INDEX(MUNICIP.EDAD,SMALL(IF(MAX(IF(RANGO.EDAD=$A$158,ENTRE25.44.REV,""))=IF(RANGO.EDAD=$A$158,ENTRE25.44.REV,""),ROW(ENTRE25.44.REV)-MIN(ROW(ENTRE25.44.REV))+1,""),ROW()-158)),"")</f>
        <v/>
      </c>
      <c r="P158" s="92">
        <f t="array" ref="P158">+MIN(IF(RANGO.EDAD=$A158,ENTRE25.44.REV))</f>
        <v>-7.2941176470588232E-2</v>
      </c>
      <c r="Q158" s="93" t="str">
        <f t="array" ref="Q158">IFERROR(INDEX(MUNICIP.EDAD,SMALL(IF(MIN(IF(RANGO.EDAD=$A$158,ENTRE25.44.REV,""))=IF(RANGO.EDAD=$A$158,ENTRE25.44.REV,""),ROW(ENTRE25.44.REV)-MIN(ROW(ENTRE25.44.REV))+1,""),ROW()-158)),"")</f>
        <v/>
      </c>
    </row>
    <row r="159" spans="1:17" ht="15" customHeight="1">
      <c r="A159" s="397"/>
      <c r="B159" s="52" t="str">
        <f t="shared" si="36"/>
        <v/>
      </c>
      <c r="C159" s="29" t="str">
        <f>IF($J$158&gt;0,K159,"")</f>
        <v>VILLAMARTIN</v>
      </c>
      <c r="D159" s="52" t="str">
        <f t="shared" si="37"/>
        <v/>
      </c>
      <c r="E159" s="33" t="str">
        <f>IF($L$158&lt;0,M159,"")</f>
        <v>TARIFA</v>
      </c>
      <c r="F159" s="29" t="str">
        <f t="shared" si="38"/>
        <v/>
      </c>
      <c r="G159" s="29" t="str">
        <f>IF($N$158&gt;0,O159,"")</f>
        <v>VILLAMARTIN</v>
      </c>
      <c r="H159" s="52" t="str">
        <f t="shared" si="39"/>
        <v/>
      </c>
      <c r="I159" s="27" t="str">
        <f>IF($P$158&lt;0,Q159,"")</f>
        <v>TARIFA</v>
      </c>
      <c r="J159" s="94"/>
      <c r="K159" s="89" t="str">
        <f t="array" ref="K159">IFERROR(INDEX(MUNICIP.EDAD,SMALL(IF(MAX(IF(RANGO.EDAD=$A$158,ENTRE25.44.ABS,""))=IF(RANGO.EDAD=$A$158,ENTRE25.44.ABS,""),ROW(ENTRE25.44.ABS)-MIN(ROW(ENTRE25.44.ABS))+1,""),ROW()-158)),"")</f>
        <v>VILLAMARTIN</v>
      </c>
      <c r="L159" s="94"/>
      <c r="M159" s="90" t="str">
        <f t="array" ref="M159">IFERROR(INDEX(MUNICIP.EDAD,SMALL(IF(MIN(IF(RANGO.EDAD=$A$158,ENTRE25.44.ABS,""))=IF(RANGO.EDAD=$A$158,ENTRE25.44.ABS,""),ROW(ENTRE25.44.ABS)-MIN(ROW(ENTRE25.44.ABS))+1,""),ROW()-158)),"")</f>
        <v>TARIFA</v>
      </c>
      <c r="N159" s="95"/>
      <c r="O159" s="89" t="str">
        <f t="array" ref="O159">IFERROR(INDEX(MUNICIP.EDAD,SMALL(IF(MAX(IF(RANGO.EDAD=$A$158,ENTRE25.44.REV,""))=IF(RANGO.EDAD=$A$158,ENTRE25.44.REV,""),ROW(ENTRE25.44.REV)-MIN(ROW(ENTRE25.44.REV))+1,""),ROW()-158)),"")</f>
        <v>VILLAMARTIN</v>
      </c>
      <c r="P159" s="94"/>
      <c r="Q159" s="93" t="str">
        <f t="array" ref="Q159">IFERROR(INDEX(MUNICIP.EDAD,SMALL(IF(MIN(IF(RANGO.EDAD=$A$158,ENTRE25.44.REV,""))=IF(RANGO.EDAD=$A$158,ENTRE25.44.REV,""),ROW(ENTRE25.44.REV)-MIN(ROW(ENTRE25.44.REV))+1,""),ROW()-158)),"")</f>
        <v>TARIFA</v>
      </c>
    </row>
    <row r="160" spans="1:17" ht="15" customHeight="1">
      <c r="A160" s="397"/>
      <c r="B160" s="61" t="str">
        <f t="shared" si="36"/>
        <v/>
      </c>
      <c r="C160" s="45" t="str">
        <f>IF($J$158&gt;0,K160,"")</f>
        <v/>
      </c>
      <c r="D160" s="61" t="str">
        <f t="shared" si="37"/>
        <v/>
      </c>
      <c r="E160" s="35" t="str">
        <f>IF($L$158&lt;0,M160,"")</f>
        <v/>
      </c>
      <c r="F160" s="45" t="str">
        <f t="shared" si="38"/>
        <v/>
      </c>
      <c r="G160" s="45" t="str">
        <f>IF($N$158&gt;0,O160,"")</f>
        <v/>
      </c>
      <c r="H160" s="61" t="str">
        <f t="shared" si="39"/>
        <v/>
      </c>
      <c r="I160" s="40" t="str">
        <f>IF($P$158&lt;0,Q160,"")</f>
        <v/>
      </c>
      <c r="J160" s="98"/>
      <c r="K160" s="89" t="str">
        <f t="array" ref="K160">IFERROR(INDEX(MUNICIP.EDAD,SMALL(IF(MAX(IF(RANGO.EDAD=$A$158,ENTRE25.44.ABS,""))=IF(RANGO.EDAD=$A$158,ENTRE25.44.ABS,""),ROW(ENTRE25.44.ABS)-MIN(ROW(ENTRE25.44.ABS))+1,""),ROW()-158)),"")</f>
        <v/>
      </c>
      <c r="L160" s="98"/>
      <c r="M160" s="90" t="str">
        <f t="array" ref="M160">IFERROR(INDEX(MUNICIP.EDAD,SMALL(IF(MIN(IF(RANGO.EDAD=$A$158,ENTRE25.44.ABS,""))=IF(RANGO.EDAD=$A$158,ENTRE25.44.ABS,""),ROW(ENTRE25.44.ABS)-MIN(ROW(ENTRE25.44.ABS))+1,""),ROW()-158)),"")</f>
        <v/>
      </c>
      <c r="N160" s="99"/>
      <c r="O160" s="89" t="str">
        <f t="array" ref="O160">IFERROR(INDEX(MUNICIP.EDAD,SMALL(IF(MAX(IF(RANGO.EDAD=$A$158,ENTRE25.44.REV,""))=IF(RANGO.EDAD=$A$158,ENTRE25.44.REV,""),ROW(ENTRE25.44.REV)-MIN(ROW(ENTRE25.44.REV))+1,""),ROW()-158)),"")</f>
        <v/>
      </c>
      <c r="P160" s="98"/>
      <c r="Q160" s="93" t="str">
        <f t="array" ref="Q160">IFERROR(INDEX(MUNICIP.EDAD,SMALL(IF(MIN(IF(RANGO.EDAD=$A$158,ENTRE25.44.REV,""))=IF(RANGO.EDAD=$A$158,ENTRE25.44.REV,""),ROW(ENTRE25.44.REV)-MIN(ROW(ENTRE25.44.REV))+1,""),ROW()-158)),"")</f>
        <v/>
      </c>
    </row>
    <row r="161" spans="1:19" ht="15" customHeight="1">
      <c r="A161" s="395" t="s">
        <v>56</v>
      </c>
      <c r="B161" s="29">
        <f t="shared" si="36"/>
        <v>127</v>
      </c>
      <c r="C161" s="29" t="str">
        <f>IF($J$161&gt;0,K161,"NO SUBE EN ESTE RANGO")</f>
        <v/>
      </c>
      <c r="D161" s="52">
        <f t="shared" si="37"/>
        <v>-133</v>
      </c>
      <c r="E161" s="33" t="str">
        <f>IF($L$161&lt;0,M161,"NO BAJA EN ESTE RANGO")</f>
        <v/>
      </c>
      <c r="F161" s="55">
        <f t="shared" si="38"/>
        <v>4.3926247288503251E-2</v>
      </c>
      <c r="G161" s="29" t="str">
        <f>IF($N$161&gt;0,O161,"NO SUBE EN ESTE RANGO")</f>
        <v/>
      </c>
      <c r="H161" s="62">
        <f t="shared" si="39"/>
        <v>-7.3480662983425413E-2</v>
      </c>
      <c r="I161" s="27" t="str">
        <f>IF($P$161&lt;0,Q161,"NO BAJA EN ESTE RANGO")</f>
        <v/>
      </c>
      <c r="J161" s="95">
        <f t="array" ref="J161">+MAX(IF(RANGO.EDAD=$A161,ENTRE25.44.ABS))</f>
        <v>127</v>
      </c>
      <c r="K161" s="95" t="str">
        <f t="array" ref="K161">IFERROR(INDEX(MUNICIP.EDAD,SMALL(IF(MAX(IF(RANGO.EDAD=$A$161,ENTRE25.44.ABS,""))=IF(RANGO.EDAD=$A$161,ENTRE25.44.ABS,""),ROW(ENTRE25.44.ABS)-MIN(ROW(ENTRE25.44.ABS))+1,""),ROW()-161)),"")</f>
        <v/>
      </c>
      <c r="L161" s="94">
        <f t="array" ref="L161">+MIN(IF(RANGO.EDAD=$A161,ENTRE25.44.ABS))</f>
        <v>-133</v>
      </c>
      <c r="M161" s="96" t="str">
        <f t="array" ref="M161">IFERROR(INDEX(MUNICIP.EDAD,SMALL(IF(MIN(IF(RANGO.EDAD=$A$161,ENTRE25.44.ABS,""))=IF(RANGO.EDAD=$A$161,ENTRE25.44.ABS,""),ROW(ENTRE25.44.ABS)-MIN(ROW(ENTRE25.44.ABS))+1,""),ROW()-161)),"")</f>
        <v/>
      </c>
      <c r="N161" s="100">
        <f t="array" ref="N161">+MAX(IF(RANGO.EDAD=$A161,ENTRE25.44.REV))</f>
        <v>4.3926247288503251E-2</v>
      </c>
      <c r="O161" s="95" t="str">
        <f t="array" ref="O161">IFERROR(INDEX(MUNICIP.EDAD,SMALL(IF(MAX(IF(RANGO.EDAD=$A$161,ENTRE25.44.REV,""))=IF(RANGO.EDAD=$A$161,ENTRE25.44.REV,""),ROW(ENTRE25.44.REV)-MIN(ROW(ENTRE25.44.REV))+1,""),ROW()-161)),"")</f>
        <v/>
      </c>
      <c r="P161" s="101">
        <f t="array" ref="P161">+MIN(IF(RANGO.EDAD=$A161,ENTRE25.44.REV))</f>
        <v>-7.3480662983425413E-2</v>
      </c>
      <c r="Q161" s="97" t="str">
        <f t="array" ref="Q161">IFERROR(INDEX(MUNICIP.EDAD,SMALL(IF(MIN(IF(RANGO.EDAD=$A$161,ENTRE25.44.REV,""))=IF(RANGO.EDAD=$A$161,ENTRE25.44.REV,""),ROW(ENTRE25.44.REV)-MIN(ROW(ENTRE25.44.REV))+1,""),ROW()-161)),"")</f>
        <v/>
      </c>
      <c r="R161" s="118"/>
      <c r="S161" s="118"/>
    </row>
    <row r="162" spans="1:19" ht="15" customHeight="1">
      <c r="A162" s="395"/>
      <c r="B162" s="29" t="str">
        <f t="shared" si="36"/>
        <v/>
      </c>
      <c r="C162" s="29" t="str">
        <f>IF($J$161&gt;0,K162,"")</f>
        <v>SANLÚCAR DE BARRAMEDA</v>
      </c>
      <c r="D162" s="52" t="str">
        <f t="shared" si="37"/>
        <v/>
      </c>
      <c r="E162" s="33" t="str">
        <f>IF($L$161&lt;0,M162,"")</f>
        <v>BARBATE</v>
      </c>
      <c r="F162" s="29" t="str">
        <f t="shared" si="38"/>
        <v/>
      </c>
      <c r="G162" s="29" t="str">
        <f>IF($N$161&gt;0,O162,"")</f>
        <v>ARCOS DE LA FRONTERA</v>
      </c>
      <c r="H162" s="52" t="str">
        <f t="shared" si="39"/>
        <v/>
      </c>
      <c r="I162" s="27" t="str">
        <f>IF($P$161&lt;0,Q162,"")</f>
        <v>BARBATE</v>
      </c>
      <c r="J162" s="95"/>
      <c r="K162" s="95" t="str">
        <f t="array" ref="K162">IFERROR(INDEX(MUNICIP.EDAD,SMALL(IF(MAX(IF(RANGO.EDAD=$A$161,ENTRE25.44.ABS,""))=IF(RANGO.EDAD=$A$161,ENTRE25.44.ABS,""),ROW(ENTRE25.44.ABS)-MIN(ROW(ENTRE25.44.ABS))+1,""),ROW()-161)),"")</f>
        <v>SANLÚCAR DE BARRAMEDA</v>
      </c>
      <c r="L162" s="94"/>
      <c r="M162" s="96" t="str">
        <f t="array" ref="M162">IFERROR(INDEX(MUNICIP.EDAD,SMALL(IF(MIN(IF(RANGO.EDAD=$A$161,ENTRE25.44.ABS,""))=IF(RANGO.EDAD=$A$161,ENTRE25.44.ABS,""),ROW(ENTRE25.44.ABS)-MIN(ROW(ENTRE25.44.ABS))+1,""),ROW()-161)),"")</f>
        <v>BARBATE</v>
      </c>
      <c r="N162" s="95"/>
      <c r="O162" s="95" t="str">
        <f t="array" ref="O162">IFERROR(INDEX(MUNICIP.EDAD,SMALL(IF(MAX(IF(RANGO.EDAD=$A$161,ENTRE25.44.REV,""))=IF(RANGO.EDAD=$A$161,ENTRE25.44.REV,""),ROW(ENTRE25.44.REV)-MIN(ROW(ENTRE25.44.REV))+1,""),ROW()-161)),"")</f>
        <v>ARCOS DE LA FRONTERA</v>
      </c>
      <c r="P162" s="94"/>
      <c r="Q162" s="97" t="str">
        <f t="array" ref="Q162">IFERROR(INDEX(MUNICIP.EDAD,SMALL(IF(MIN(IF(RANGO.EDAD=$A$161,ENTRE25.44.REV,""))=IF(RANGO.EDAD=$A$161,ENTRE25.44.REV,""),ROW(ENTRE25.44.REV)-MIN(ROW(ENTRE25.44.REV))+1,""),ROW()-161)),"")</f>
        <v>BARBATE</v>
      </c>
    </row>
    <row r="163" spans="1:19" ht="15" customHeight="1">
      <c r="A163" s="403"/>
      <c r="B163" s="29" t="str">
        <f t="shared" si="36"/>
        <v/>
      </c>
      <c r="C163" s="29" t="str">
        <f>IF($J$161&gt;0,K163,"")</f>
        <v/>
      </c>
      <c r="D163" s="61" t="str">
        <f t="shared" si="37"/>
        <v/>
      </c>
      <c r="E163" s="33" t="str">
        <f>IF($L$161&lt;0,M163,"")</f>
        <v/>
      </c>
      <c r="F163" s="29" t="str">
        <f t="shared" si="38"/>
        <v/>
      </c>
      <c r="G163" s="29" t="str">
        <f>IF($N$161&gt;0,O163,"")</f>
        <v/>
      </c>
      <c r="H163" s="61" t="str">
        <f t="shared" si="39"/>
        <v/>
      </c>
      <c r="I163" s="27" t="str">
        <f>IF($P$161&lt;0,Q163,"")</f>
        <v/>
      </c>
      <c r="J163" s="95"/>
      <c r="K163" s="95" t="str">
        <f t="array" ref="K163">IFERROR(INDEX(MUNICIP.EDAD,SMALL(IF(MAX(IF(RANGO.EDAD=$A$161,ENTRE25.44.ABS,""))=IF(RANGO.EDAD=$A$161,ENTRE25.44.ABS,""),ROW(ENTRE25.44.ABS)-MIN(ROW(ENTRE25.44.ABS))+1,""),ROW()-161)),"")</f>
        <v/>
      </c>
      <c r="L163" s="98"/>
      <c r="M163" s="96" t="str">
        <f t="array" ref="M163">IFERROR(INDEX(MUNICIP.EDAD,SMALL(IF(MIN(IF(RANGO.EDAD=$A$161,ENTRE25.44.ABS,""))=IF(RANGO.EDAD=$A$161,ENTRE25.44.ABS,""),ROW(ENTRE25.44.ABS)-MIN(ROW(ENTRE25.44.ABS))+1,""),ROW()-161)),"")</f>
        <v/>
      </c>
      <c r="N163" s="95"/>
      <c r="O163" s="95" t="str">
        <f t="array" ref="O163">IFERROR(INDEX(MUNICIP.EDAD,SMALL(IF(MAX(IF(RANGO.EDAD=$A$161,ENTRE25.44.REV,""))=IF(RANGO.EDAD=$A$161,ENTRE25.44.REV,""),ROW(ENTRE25.44.REV)-MIN(ROW(ENTRE25.44.REV))+1,""),ROW()-161)),"")</f>
        <v/>
      </c>
      <c r="P163" s="98"/>
      <c r="Q163" s="97" t="str">
        <f t="array" ref="Q163">IFERROR(INDEX(MUNICIP.EDAD,SMALL(IF(MIN(IF(RANGO.EDAD=$A$161,ENTRE25.44.REV,""))=IF(RANGO.EDAD=$A$161,ENTRE25.44.REV,""),ROW(ENTRE25.44.REV)-MIN(ROW(ENTRE25.44.REV))+1,""),ROW()-161)),"")</f>
        <v/>
      </c>
    </row>
    <row r="164" spans="1:19" ht="16.5">
      <c r="A164" s="400" t="s">
        <v>68</v>
      </c>
      <c r="B164" s="401"/>
      <c r="C164" s="401"/>
      <c r="D164" s="401"/>
      <c r="E164" s="401"/>
      <c r="F164" s="401"/>
      <c r="G164" s="401"/>
      <c r="H164" s="401"/>
      <c r="I164" s="402"/>
    </row>
    <row r="165" spans="1:19" ht="16.5">
      <c r="A165" s="76"/>
      <c r="B165" s="394" t="s">
        <v>82</v>
      </c>
      <c r="C165" s="392"/>
      <c r="D165" s="391" t="s">
        <v>83</v>
      </c>
      <c r="E165" s="392"/>
      <c r="F165" s="391" t="s">
        <v>82</v>
      </c>
      <c r="G165" s="392"/>
      <c r="H165" s="391" t="s">
        <v>83</v>
      </c>
      <c r="I165" s="393"/>
    </row>
    <row r="166" spans="1:19" ht="15" customHeight="1">
      <c r="A166" s="398" t="s">
        <v>55</v>
      </c>
      <c r="B166" s="36">
        <f t="shared" ref="B166:B174" si="40">+IF(J166&gt;0,J166,"")</f>
        <v>9</v>
      </c>
      <c r="C166" s="29" t="str">
        <f>IF($J$166&gt;0,K166,"NO SUBE EN ESTE RANGO")</f>
        <v/>
      </c>
      <c r="D166" s="52">
        <f t="shared" ref="D166:D174" si="41">+IF(L166&lt;0,L166,"")</f>
        <v>-10</v>
      </c>
      <c r="E166" s="33" t="str">
        <f>IF($L$166&lt;0,M166,"NO BAJA EN ESTE RANGO")</f>
        <v/>
      </c>
      <c r="F166" s="130">
        <f t="shared" ref="F166:F174" si="42">+IF(N166&gt;0,N166,"")</f>
        <v>0.125</v>
      </c>
      <c r="G166" s="29" t="str">
        <f>IF($N$166&gt;0,O166,"NO SUBE EN ESTE RANGO")</f>
        <v/>
      </c>
      <c r="H166" s="138">
        <f t="shared" ref="H166:H174" si="43">+IF(P166&lt;0,P166,"")</f>
        <v>-6.25E-2</v>
      </c>
      <c r="I166" s="27" t="str">
        <f>IF($P$166&lt;0,Q166,"NO BAJA EN ESTE RANGO")</f>
        <v/>
      </c>
      <c r="J166" s="88">
        <f t="array" ref="J166">+MAX(IF(RANGO.EDAD=$A166,MAYOR45.ABS))</f>
        <v>9</v>
      </c>
      <c r="K166" s="89" t="str">
        <f t="array" ref="K166">IFERROR(INDEX(MUNICIP.EDAD,SMALL(IF(MAX(IF(RANGO.EDAD=$A$166,MAYOR45.ABS,""))=IF(RANGO.EDAD=$A$166,MAYOR45.ABS,""),ROW(MAYOR45.ABS)-MIN(ROW(MAYOR45.ABS))+1,""),ROW()-166)),"")</f>
        <v/>
      </c>
      <c r="L166" s="88">
        <f t="array" ref="L166">+MIN(IF(RANGO.EDAD=$A166,MAYOR45.ABS))</f>
        <v>-10</v>
      </c>
      <c r="M166" s="90" t="str">
        <f t="array" ref="M166">IFERROR(INDEX(MUNICIP.EDAD,SMALL(IF(MIN(IF(RANGO.EDAD=$A$166,MAYOR45.ABS,""))=IF(RANGO.EDAD=$A$166,MAYOR45.ABS,""),ROW(MAYOR45.ABS)-MIN(ROW(MAYOR45.ABS))+1,""),ROW()-166)),"")</f>
        <v/>
      </c>
      <c r="N166" s="91">
        <f t="array" ref="N166">+MAX(IF(RANGO.EDAD=$A166,MAYOR45.REV))</f>
        <v>0.125</v>
      </c>
      <c r="O166" s="89" t="str">
        <f t="array" ref="O166">IFERROR(INDEX(MUNICIP.EDAD,SMALL(IF(MAX(IF(RANGO.EDAD=$A$166,MAYOR45.REV,""))=IF(RANGO.EDAD=$A$166,MAYOR45.REV,""),ROW(MAYOR45.REV)-MIN(ROW(MAYOR45.REV))+1,""),ROW()-166)),"")</f>
        <v/>
      </c>
      <c r="P166" s="92">
        <f t="array" ref="P166">+MIN(IF(RANGO.EDAD=$A166,MAYOR45.REV))</f>
        <v>-6.25E-2</v>
      </c>
      <c r="Q166" s="93" t="str">
        <f t="array" ref="Q166">IFERROR(INDEX(MUNICIP.EDAD,SMALL(IF(MIN(IF(RANGO.EDAD=$A$166,MAYOR45.REV,""))=IF(RANGO.EDAD=$A$166,MAYOR45.REV,""),ROW(MAYOR45.REV)-MIN(ROW(MAYOR45.REV))+1,""),ROW()-166)),"")</f>
        <v/>
      </c>
    </row>
    <row r="167" spans="1:19" ht="15" customHeight="1">
      <c r="A167" s="399"/>
      <c r="B167" s="52" t="str">
        <f t="shared" si="40"/>
        <v/>
      </c>
      <c r="C167" s="29" t="str">
        <f>IF($J$166&gt;0,K167,"")</f>
        <v>ESPERA</v>
      </c>
      <c r="D167" s="52" t="str">
        <f t="shared" si="41"/>
        <v/>
      </c>
      <c r="E167" s="33" t="str">
        <f>IF($L$166&lt;0,M167,"")</f>
        <v>CASTELLAR DE LA FRONTERA</v>
      </c>
      <c r="F167" s="29" t="str">
        <f t="shared" si="42"/>
        <v/>
      </c>
      <c r="G167" s="29" t="str">
        <f>IF($N$166&gt;0,O167,"")</f>
        <v>TORRE ALHÁQUIME</v>
      </c>
      <c r="H167" s="52" t="str">
        <f t="shared" si="43"/>
        <v/>
      </c>
      <c r="I167" s="27" t="str">
        <f>IF($P$166&lt;0,Q167,"")</f>
        <v>BENAOCAZ</v>
      </c>
      <c r="J167" s="94"/>
      <c r="K167" s="89" t="str">
        <f t="array" ref="K167">IFERROR(INDEX(MUNICIP.EDAD,SMALL(IF(MAX(IF(RANGO.EDAD=$A$166,MAYOR45.ABS,""))=IF(RANGO.EDAD=$A$166,MAYOR45.ABS,""),ROW(MAYOR45.ABS)-MIN(ROW(MAYOR45.ABS))+1,""),ROW()-166)),"")</f>
        <v>ESPERA</v>
      </c>
      <c r="L167" s="94"/>
      <c r="M167" s="90" t="str">
        <f t="array" ref="M167">IFERROR(INDEX(MUNICIP.EDAD,SMALL(IF(MIN(IF(RANGO.EDAD=$A$166,MAYOR45.ABS,""))=IF(RANGO.EDAD=$A$166,MAYOR45.ABS,""),ROW(MAYOR45.ABS)-MIN(ROW(MAYOR45.ABS))+1,""),ROW()-166)),"")</f>
        <v>CASTELLAR DE LA FRONTERA</v>
      </c>
      <c r="N167" s="95"/>
      <c r="O167" s="89" t="str">
        <f t="array" ref="O167">IFERROR(INDEX(MUNICIP.EDAD,SMALL(IF(MAX(IF(RANGO.EDAD=$A$166,MAYOR45.REV,""))=IF(RANGO.EDAD=$A$166,MAYOR45.REV,""),ROW(MAYOR45.REV)-MIN(ROW(MAYOR45.REV))+1,""),ROW()-166)),"")</f>
        <v>TORRE ALHÁQUIME</v>
      </c>
      <c r="P167" s="94"/>
      <c r="Q167" s="93" t="str">
        <f t="array" ref="Q167">IFERROR(INDEX(MUNICIP.EDAD,SMALL(IF(MIN(IF(RANGO.EDAD=$A$166,MAYOR45.REV,""))=IF(RANGO.EDAD=$A$166,MAYOR45.REV,""),ROW(MAYOR45.REV)-MIN(ROW(MAYOR45.REV))+1,""),ROW()-166)),"")</f>
        <v>BENAOCAZ</v>
      </c>
    </row>
    <row r="168" spans="1:19" ht="15" customHeight="1">
      <c r="A168" s="399"/>
      <c r="B168" s="52" t="str">
        <f t="shared" si="40"/>
        <v/>
      </c>
      <c r="C168" s="29" t="str">
        <f>IF($J$166&gt;0,K168,"")</f>
        <v>SAN JOSÉ DEL VALLE</v>
      </c>
      <c r="D168" s="52" t="str">
        <f t="shared" si="41"/>
        <v/>
      </c>
      <c r="E168" s="33" t="str">
        <f>IF($L$166&lt;0,M168,"")</f>
        <v/>
      </c>
      <c r="F168" s="29" t="str">
        <f t="shared" si="42"/>
        <v/>
      </c>
      <c r="G168" s="29" t="str">
        <f>IF($N$166&gt;0,O168,"")</f>
        <v/>
      </c>
      <c r="H168" s="52" t="str">
        <f t="shared" si="43"/>
        <v/>
      </c>
      <c r="I168" s="27" t="str">
        <f>IF($P$166&lt;0,Q168,"")</f>
        <v/>
      </c>
      <c r="J168" s="94"/>
      <c r="K168" s="89" t="str">
        <f t="array" ref="K168">IFERROR(INDEX(MUNICIP.EDAD,SMALL(IF(MAX(IF(RANGO.EDAD=$A$166,MAYOR45.ABS,""))=IF(RANGO.EDAD=$A$166,MAYOR45.ABS,""),ROW(MAYOR45.ABS)-MIN(ROW(MAYOR45.ABS))+1,""),ROW()-166)),"")</f>
        <v>SAN JOSÉ DEL VALLE</v>
      </c>
      <c r="L168" s="94"/>
      <c r="M168" s="90" t="str">
        <f t="array" ref="M168">IFERROR(INDEX(MUNICIP.EDAD,SMALL(IF(MIN(IF(RANGO.EDAD=$A$166,MAYOR45.ABS,""))=IF(RANGO.EDAD=$A$166,MAYOR45.ABS,""),ROW(MAYOR45.ABS)-MIN(ROW(MAYOR45.ABS))+1,""),ROW()-166)),"")</f>
        <v/>
      </c>
      <c r="N168" s="95"/>
      <c r="O168" s="89" t="str">
        <f t="array" ref="O168">IFERROR(INDEX(MUNICIP.EDAD,SMALL(IF(MAX(IF(RANGO.EDAD=$A$166,MAYOR45.REV,""))=IF(RANGO.EDAD=$A$166,MAYOR45.REV,""),ROW(MAYOR45.REV)-MIN(ROW(MAYOR45.REV))+1,""),ROW()-166)),"")</f>
        <v/>
      </c>
      <c r="P168" s="94"/>
      <c r="Q168" s="93" t="str">
        <f t="array" ref="Q168">IFERROR(INDEX(MUNICIP.EDAD,SMALL(IF(MIN(IF(RANGO.EDAD=$A$166,MAYOR45.REV,""))=IF(RANGO.EDAD=$A$166,MAYOR45.REV,""),ROW(MAYOR45.REV)-MIN(ROW(MAYOR45.REV))+1,""),ROW()-166)),"")</f>
        <v/>
      </c>
    </row>
    <row r="169" spans="1:19" ht="15" customHeight="1">
      <c r="A169" s="397" t="s">
        <v>54</v>
      </c>
      <c r="B169" s="51">
        <f t="shared" si="40"/>
        <v>39</v>
      </c>
      <c r="C169" s="44" t="str">
        <f>IF($J$169&gt;0,K169,"NO SUBE EN ESTE RANGO")</f>
        <v/>
      </c>
      <c r="D169" s="51">
        <f t="shared" si="41"/>
        <v>-23</v>
      </c>
      <c r="E169" s="31" t="str">
        <f>IF($L$169&lt;0,M169,"NO BAJA EN ESTE RANGO")</f>
        <v/>
      </c>
      <c r="F169" s="63">
        <f t="shared" si="42"/>
        <v>0.10460251046025104</v>
      </c>
      <c r="G169" s="44" t="str">
        <f>IF($N$169&gt;0,O169,"NO SUBE EN ESTE RANGO")</f>
        <v/>
      </c>
      <c r="H169" s="60">
        <f t="shared" si="43"/>
        <v>-2.3060796645702306E-2</v>
      </c>
      <c r="I169" s="37" t="str">
        <f>IF($P$169&lt;0,Q169,"NO BAJA EN ESTE RANGO")</f>
        <v/>
      </c>
      <c r="J169" s="88">
        <f t="array" ref="J169">+MAX(IF(RANGO.EDAD=$A169,MAYOR45.ABS))</f>
        <v>39</v>
      </c>
      <c r="K169" s="89" t="str">
        <f t="array" ref="K169">IFERROR(INDEX(MUNICIP.EDAD,SMALL(IF(MAX(IF(RANGO.EDAD=$A$169,MAYOR45.ABS,""))=IF(RANGO.EDAD=$A$169,MAYOR45.ABS,""),ROW(MAYOR45.ABS)-MIN(ROW(MAYOR45.ABS))+1,""),ROW()-169)),"")</f>
        <v/>
      </c>
      <c r="L169" s="88">
        <f t="array" ref="L169">+MIN(IF(RANGO.EDAD=$A169,MAYOR45.ABS))</f>
        <v>-23</v>
      </c>
      <c r="M169" s="90" t="str">
        <f t="array" ref="M169">IFERROR(INDEX(MUNICIP.EDAD,SMALL(IF(MIN(IF(RANGO.EDAD=$A$169,MAYOR45.ABS,""))=IF(RANGO.EDAD=$A$169,MAYOR45.ABS,""),ROW(MAYOR45.ABS)-MIN(ROW(MAYOR45.ABS))+1,""),ROW()-169)),"")</f>
        <v/>
      </c>
      <c r="N169" s="91">
        <f t="array" ref="N169">+MAX(IF(RANGO.EDAD=$A169,MAYOR45.REV))</f>
        <v>0.10460251046025104</v>
      </c>
      <c r="O169" s="89" t="str">
        <f t="array" ref="O169">IFERROR(INDEX(MUNICIP.EDAD,SMALL(IF(MAX(IF(RANGO.EDAD=$A$169,MAYOR45.REV,""))=IF(RANGO.EDAD=$A$169,MAYOR45.REV,0),ROW(MAYOR45.REV)-MIN(ROW(MAYOR45.REV))+1,""),ROW()-169)),"")</f>
        <v/>
      </c>
      <c r="P169" s="92">
        <f t="array" ref="P169">+MIN(IF(RANGO.EDAD=$A169,MAYOR45.REV))</f>
        <v>-2.3060796645702306E-2</v>
      </c>
      <c r="Q169" s="93" t="str">
        <f t="array" ref="Q169">IFERROR(INDEX(MUNICIP.EDAD,SMALL(IF(MIN(IF(RANGO.EDAD=$A$169,MAYOR45.REV,""))=IF(RANGO.EDAD=$A$169,MAYOR45.REV,""),ROW(MAYOR45.REV)-MIN(ROW(MAYOR45.REV))+1,""),ROW()-169)),"")</f>
        <v/>
      </c>
    </row>
    <row r="170" spans="1:19" ht="15" customHeight="1">
      <c r="A170" s="397"/>
      <c r="B170" s="52" t="str">
        <f t="shared" si="40"/>
        <v/>
      </c>
      <c r="C170" s="29" t="str">
        <f>IF($J$169&gt;0,K170,"")</f>
        <v>VILLAMARTIN</v>
      </c>
      <c r="D170" s="52" t="str">
        <f t="shared" si="41"/>
        <v/>
      </c>
      <c r="E170" s="33" t="str">
        <f>IF($L$169&lt;0,M170,"")</f>
        <v>CHIPIONA</v>
      </c>
      <c r="F170" s="29" t="str">
        <f t="shared" si="42"/>
        <v/>
      </c>
      <c r="G170" s="29" t="str">
        <f>IF($N$169&gt;0,O170,"")</f>
        <v>TREBUJENA</v>
      </c>
      <c r="H170" s="52" t="str">
        <f t="shared" si="43"/>
        <v/>
      </c>
      <c r="I170" s="27" t="str">
        <f>IF($P$169&lt;0,Q170,"")</f>
        <v>TARIFA</v>
      </c>
      <c r="J170" s="94"/>
      <c r="K170" s="89" t="str">
        <f t="array" ref="K170">IFERROR(INDEX(MUNICIP.EDAD,SMALL(IF(MAX(IF(RANGO.EDAD=$A$169,MAYOR45.ABS,""))=IF(RANGO.EDAD=$A$169,MAYOR45.ABS,""),ROW(MAYOR45.ABS)-MIN(ROW(MAYOR45.ABS))+1,""),ROW()-169)),"")</f>
        <v>VILLAMARTIN</v>
      </c>
      <c r="L170" s="94"/>
      <c r="M170" s="90" t="str">
        <f t="array" ref="M170">IFERROR(INDEX(MUNICIP.EDAD,SMALL(IF(MIN(IF(RANGO.EDAD=$A$169,MAYOR45.ABS,""))=IF(RANGO.EDAD=$A$169,MAYOR45.ABS,""),ROW(MAYOR45.ABS)-MIN(ROW(MAYOR45.ABS))+1,""),ROW()-169)),"")</f>
        <v>CHIPIONA</v>
      </c>
      <c r="N170" s="95"/>
      <c r="O170" s="89" t="str">
        <f t="array" ref="O170">IFERROR(INDEX(MUNICIP.EDAD,SMALL(IF(MAX(IF(RANGO.EDAD=$A$169,MAYOR45.REV,""))=IF(RANGO.EDAD=$A$169,MAYOR45.REV,0),ROW(MAYOR45.REV)-MIN(ROW(MAYOR45.REV))+1,""),ROW()-169)),"")</f>
        <v>TREBUJENA</v>
      </c>
      <c r="P170" s="94"/>
      <c r="Q170" s="93" t="str">
        <f t="array" ref="Q170">IFERROR(INDEX(MUNICIP.EDAD,SMALL(IF(MIN(IF(RANGO.EDAD=$A$169,MAYOR45.REV,""))=IF(RANGO.EDAD=$A$169,MAYOR45.REV,""),ROW(MAYOR45.REV)-MIN(ROW(MAYOR45.REV))+1,""),ROW()-169)),"")</f>
        <v>TARIFA</v>
      </c>
    </row>
    <row r="171" spans="1:19" ht="15" customHeight="1">
      <c r="A171" s="397"/>
      <c r="B171" s="61" t="str">
        <f t="shared" si="40"/>
        <v/>
      </c>
      <c r="C171" s="45" t="str">
        <f>IF($J$169&gt;0,K171,"")</f>
        <v/>
      </c>
      <c r="D171" s="61" t="str">
        <f t="shared" si="41"/>
        <v/>
      </c>
      <c r="E171" s="35" t="str">
        <f>IF($L$169&lt;0,M171,"")</f>
        <v/>
      </c>
      <c r="F171" s="45" t="str">
        <f t="shared" si="42"/>
        <v/>
      </c>
      <c r="G171" s="45" t="str">
        <f>IF($N$169&gt;0,O171,"")</f>
        <v/>
      </c>
      <c r="H171" s="61" t="str">
        <f t="shared" si="43"/>
        <v/>
      </c>
      <c r="I171" s="40" t="str">
        <f>IF($P$169&lt;0,Q171,"")</f>
        <v/>
      </c>
      <c r="J171" s="98"/>
      <c r="K171" s="89" t="str">
        <f t="array" ref="K171">IFERROR(INDEX(MUNICIP.EDAD,SMALL(IF(MAX(IF(RANGO.EDAD=$A$169,MAYOR45.ABS,""))=IF(RANGO.EDAD=$A$169,MAYOR45.ABS,""),ROW(MAYOR45.ABS)-MIN(ROW(MAYOR45.ABS))+1,""),ROW()-169)),"")</f>
        <v/>
      </c>
      <c r="L171" s="98"/>
      <c r="M171" s="90" t="str">
        <f t="array" ref="M171">IFERROR(INDEX(MUNICIP.EDAD,SMALL(IF(MIN(IF(RANGO.EDAD=$A$169,MAYOR45.ABS,""))=IF(RANGO.EDAD=$A$169,MAYOR45.ABS,""),ROW(MAYOR45.ABS)-MIN(ROW(MAYOR45.ABS))+1,""),ROW()-169)),"")</f>
        <v/>
      </c>
      <c r="N171" s="99"/>
      <c r="O171" s="89" t="str">
        <f t="array" ref="O171">IFERROR(INDEX(MUNICIP.EDAD,SMALL(IF(MAX(IF(RANGO.EDAD=$A$169,MAYOR45.REV,""))=IF(RANGO.EDAD=$A$169,MAYOR45.REV,0),ROW(MAYOR45.REV)-MIN(ROW(MAYOR45.REV))+1,""),ROW()-169)),"")</f>
        <v/>
      </c>
      <c r="P171" s="98"/>
      <c r="Q171" s="93" t="str">
        <f t="array" ref="Q171">IFERROR(INDEX(MUNICIP.EDAD,SMALL(IF(MIN(IF(RANGO.EDAD=$A$169,MAYOR45.REV,""))=IF(RANGO.EDAD=$A$169,MAYOR45.REV,""),ROW(MAYOR45.REV)-MIN(ROW(MAYOR45.REV))+1,""),ROW()-169)),"")</f>
        <v/>
      </c>
    </row>
    <row r="172" spans="1:19" ht="15" customHeight="1">
      <c r="A172" s="395" t="s">
        <v>56</v>
      </c>
      <c r="B172" s="51">
        <f t="shared" si="40"/>
        <v>220</v>
      </c>
      <c r="C172" s="44" t="str">
        <f>IF($J$172&gt;0,K172,"NO SUBE EN ESTE RANGO")</f>
        <v/>
      </c>
      <c r="D172" s="51">
        <f t="shared" si="41"/>
        <v>-26</v>
      </c>
      <c r="E172" s="31" t="str">
        <f>IF($L$172&lt;0,M172,"NO BAJA EN ESTE RANGO")</f>
        <v/>
      </c>
      <c r="F172" s="63">
        <f t="shared" si="42"/>
        <v>5.2835051546391752E-2</v>
      </c>
      <c r="G172" s="44" t="str">
        <f>IF($N$172&gt;0,O172,"NO SUBE EN ESTE RANGO")</f>
        <v/>
      </c>
      <c r="H172" s="60">
        <f t="shared" si="43"/>
        <v>-1.3980263157894737E-2</v>
      </c>
      <c r="I172" s="37" t="str">
        <f>IF($P$172&lt;0,Q172,"NO BAJA EN ESTE RANGO")</f>
        <v/>
      </c>
      <c r="J172" s="94">
        <f t="array" ref="J172">+MAX(IF(RANGO.EDAD=$A172,MAYOR45.ABS))</f>
        <v>220</v>
      </c>
      <c r="K172" s="95" t="str">
        <f t="array" ref="K172">IFERROR(INDEX(MUNICIP.EDAD,SMALL(IF(MAX(IF(RANGO.EDAD=$A$172,MAYOR45.ABS,""))=IF(RANGO.EDAD=$A$172,MAYOR45.ABS,""),ROW(MAYOR45.ABS)-MIN(ROW(MAYOR45.ABS))+1,""),ROW()-172)),"")</f>
        <v/>
      </c>
      <c r="L172" s="94">
        <f t="array" ref="L172">+MIN(IF(RANGO.EDAD=$A172,MAYOR45.ABS))</f>
        <v>-26</v>
      </c>
      <c r="M172" s="96" t="str">
        <f t="array" ref="M172">IFERROR(INDEX(MUNICIP.EDAD,SMALL(IF(MIN(IF(RANGO.EDAD=$A$172,MAYOR45.ABS,""))=IF(RANGO.EDAD=$A$172,MAYOR45.ABS,""),ROW(MAYOR45.ABS)-MIN(ROW(MAYOR45.ABS))+1,""),ROW()-172)),"")</f>
        <v/>
      </c>
      <c r="N172" s="100">
        <f t="array" ref="N172">+MAX(IF(RANGO.EDAD=$A172,MAYOR45.REV))</f>
        <v>5.2835051546391752E-2</v>
      </c>
      <c r="O172" s="95" t="str">
        <f t="array" ref="O172">IFERROR(INDEX(MUNICIP.EDAD,SMALL(IF(MAX(IF(RANGO.EDAD=$A$172,MAYOR45.REV,""))=IF(RANGO.EDAD=$A$172,MAYOR45.REV,""),ROW(MAYOR45.REV)-MIN(ROW(MAYOR45.REV))+1,""),ROW()-172)),"")</f>
        <v/>
      </c>
      <c r="P172" s="101">
        <f t="array" ref="P172">+MIN(IF(RANGO.EDAD=$A172,MAYOR45.REV))</f>
        <v>-1.3980263157894737E-2</v>
      </c>
      <c r="Q172" s="97" t="str">
        <f t="array" ref="Q172">IFERROR(INDEX(MUNICIP.EDAD,SMALL(IF(MIN(IF(RANGO.EDAD=$A$172,MAYOR45.REV,""))=IF(RANGO.EDAD=$A$172,MAYOR45.REV,""),ROW(MAYOR45.REV)-MIN(ROW(MAYOR45.REV))+1,""),ROW()-172)),"")</f>
        <v/>
      </c>
    </row>
    <row r="173" spans="1:19" ht="15" customHeight="1">
      <c r="A173" s="395"/>
      <c r="B173" s="52" t="str">
        <f t="shared" si="40"/>
        <v/>
      </c>
      <c r="C173" s="29" t="str">
        <f>IF($J$172&gt;0,K173,"")</f>
        <v>JEREZ DE LA FRONTERA</v>
      </c>
      <c r="D173" s="52" t="str">
        <f t="shared" si="41"/>
        <v/>
      </c>
      <c r="E173" s="33" t="str">
        <f>IF($L$172&lt;0,M173,"")</f>
        <v>EL PUERTO DE SANTA MARÍA</v>
      </c>
      <c r="F173" s="29" t="str">
        <f t="shared" si="42"/>
        <v/>
      </c>
      <c r="G173" s="29" t="str">
        <f>IF($N$172&gt;0,O173,"")</f>
        <v>ARCOS DE LA FRONTERA</v>
      </c>
      <c r="H173" s="52" t="str">
        <f t="shared" si="43"/>
        <v/>
      </c>
      <c r="I173" s="27" t="str">
        <f>IF($P$172&lt;0,Q173,"")</f>
        <v>CONIL DE LA FRONTERA</v>
      </c>
      <c r="J173" s="94"/>
      <c r="K173" s="95" t="str">
        <f t="array" ref="K173">IFERROR(INDEX(MUNICIP.EDAD,SMALL(IF(MAX(IF(RANGO.EDAD=$A$172,MAYOR45.ABS,""))=IF(RANGO.EDAD=$A$172,MAYOR45.ABS,""),ROW(MAYOR45.ABS)-MIN(ROW(MAYOR45.ABS))+1,""),ROW()-172)),"")</f>
        <v>JEREZ DE LA FRONTERA</v>
      </c>
      <c r="L173" s="94"/>
      <c r="M173" s="96" t="str">
        <f t="array" ref="M173">IFERROR(INDEX(MUNICIP.EDAD,SMALL(IF(MIN(IF(RANGO.EDAD=$A$172,MAYOR45.ABS,""))=IF(RANGO.EDAD=$A$172,MAYOR45.ABS,""),ROW(MAYOR45.ABS)-MIN(ROW(MAYOR45.ABS))+1,""),ROW()-172)),"")</f>
        <v>EL PUERTO DE SANTA MARÍA</v>
      </c>
      <c r="N173" s="95"/>
      <c r="O173" s="95" t="str">
        <f t="array" ref="O173">IFERROR(INDEX(MUNICIP.EDAD,SMALL(IF(MAX(IF(RANGO.EDAD=$A$172,MAYOR45.REV,""))=IF(RANGO.EDAD=$A$172,MAYOR45.REV,""),ROW(MAYOR45.REV)-MIN(ROW(MAYOR45.REV))+1,""),ROW()-172)),"")</f>
        <v>ARCOS DE LA FRONTERA</v>
      </c>
      <c r="P173" s="94"/>
      <c r="Q173" s="97" t="str">
        <f t="array" ref="Q173">IFERROR(INDEX(MUNICIP.EDAD,SMALL(IF(MIN(IF(RANGO.EDAD=$A$172,MAYOR45.REV,""))=IF(RANGO.EDAD=$A$172,MAYOR45.REV,""),ROW(MAYOR45.REV)-MIN(ROW(MAYOR45.REV))+1,""),ROW()-172)),"")</f>
        <v>CONIL DE LA FRONTERA</v>
      </c>
    </row>
    <row r="174" spans="1:19" ht="15" customHeight="1" thickBot="1">
      <c r="A174" s="396"/>
      <c r="B174" s="53" t="str">
        <f t="shared" si="40"/>
        <v/>
      </c>
      <c r="C174" s="41" t="str">
        <f>IF($J$172&gt;0,K174,"")</f>
        <v/>
      </c>
      <c r="D174" s="53" t="str">
        <f t="shared" si="41"/>
        <v/>
      </c>
      <c r="E174" s="43" t="str">
        <f>IF($L$172&lt;0,M174,"")</f>
        <v/>
      </c>
      <c r="F174" s="41" t="str">
        <f t="shared" si="42"/>
        <v/>
      </c>
      <c r="G174" s="41" t="str">
        <f>IF($N$172&gt;0,O174,"")</f>
        <v/>
      </c>
      <c r="H174" s="53" t="str">
        <f t="shared" si="43"/>
        <v/>
      </c>
      <c r="I174" s="28" t="str">
        <f>IF($P$172&lt;0,Q174,"")</f>
        <v/>
      </c>
      <c r="J174" s="102"/>
      <c r="K174" s="95" t="str">
        <f t="array" ref="K174">IFERROR(INDEX(MUNICIP.EDAD,SMALL(IF(MAX(IF(RANGO.EDAD=$A$172,MAYOR45.ABS,""))=IF(RANGO.EDAD=$A$172,MAYOR45.ABS,""),ROW(MAYOR45.ABS)-MIN(ROW(MAYOR45.ABS))+1,""),ROW()-172)),"")</f>
        <v/>
      </c>
      <c r="L174" s="102"/>
      <c r="M174" s="96" t="str">
        <f t="array" ref="M174">IFERROR(INDEX(MUNICIP.EDAD,SMALL(IF(MIN(IF(RANGO.EDAD=$A$172,MAYOR45.ABS,""))=IF(RANGO.EDAD=$A$172,MAYOR45.ABS,""),ROW(MAYOR45.ABS)-MIN(ROW(MAYOR45.ABS))+1,""),ROW()-172)),"")</f>
        <v/>
      </c>
      <c r="N174" s="103"/>
      <c r="O174" s="95" t="str">
        <f t="array" ref="O174">IFERROR(INDEX(MUNICIP.EDAD,SMALL(IF(MAX(IF(RANGO.EDAD=$A$172,MAYOR45.REV,""))=IF(RANGO.EDAD=$A$172,MAYOR45.REV,""),ROW(MAYOR45.REV)-MIN(ROW(MAYOR45.REV))+1,""),ROW()-172)),"")</f>
        <v/>
      </c>
      <c r="P174" s="102"/>
      <c r="Q174" s="97" t="str">
        <f t="array" ref="Q174">IFERROR(INDEX(MUNICIP.EDAD,SMALL(IF(MIN(IF(RANGO.EDAD=$A$172,MAYOR45.REV,""))=IF(RANGO.EDAD=$A$172,MAYOR45.REV,""),ROW(MAYOR45.REV)-MIN(ROW(MAYOR45.REV))+1,""),ROW()-172)),"")</f>
        <v/>
      </c>
    </row>
    <row r="175" spans="1:19" ht="33" customHeight="1" thickTop="1"/>
    <row r="176" spans="1:19" ht="23.25" customHeight="1">
      <c r="A176" s="81" t="str">
        <f>"EVOLUCIÓN GLOBAL DEL PARO REGISTRADO POR COMARCAS O ZONAS DE NUESTRA PROVINCIA"</f>
        <v>EVOLUCIÓN GLOBAL DEL PARO REGISTRADO POR COMARCAS O ZONAS DE NUESTRA PROVINCIA</v>
      </c>
      <c r="B176" s="81"/>
      <c r="C176" s="81"/>
      <c r="D176" s="81"/>
      <c r="E176" s="81"/>
      <c r="F176" s="81"/>
      <c r="G176" s="81"/>
      <c r="H176" s="81"/>
      <c r="I176" s="81"/>
    </row>
    <row r="177" spans="1:11" ht="23.25" customHeight="1" thickBot="1">
      <c r="A177" s="25" t="str">
        <f>"("&amp;J2&amp;" - "&amp;K2&amp;")"</f>
        <v>(MARZO 2022 - FEBRERO 2022)</v>
      </c>
      <c r="B177" s="25"/>
      <c r="C177" s="25"/>
      <c r="D177" s="25"/>
      <c r="E177" s="25"/>
      <c r="F177" s="25"/>
      <c r="G177" s="25"/>
      <c r="H177" s="25"/>
      <c r="I177" s="25"/>
    </row>
    <row r="178" spans="1:11" ht="9.75" customHeight="1" thickTop="1"/>
    <row r="179" spans="1:11" ht="18" customHeight="1">
      <c r="A179" s="518" t="s">
        <v>77</v>
      </c>
      <c r="B179" s="518"/>
      <c r="C179" s="518"/>
      <c r="D179" s="518"/>
      <c r="E179" s="518"/>
      <c r="F179" s="404" t="s">
        <v>69</v>
      </c>
      <c r="G179" s="404"/>
      <c r="H179" s="404" t="s">
        <v>70</v>
      </c>
      <c r="I179" s="410"/>
      <c r="K179" t="s">
        <v>89</v>
      </c>
    </row>
    <row r="180" spans="1:11" ht="19.5" customHeight="1">
      <c r="A180" s="519" t="s">
        <v>90</v>
      </c>
      <c r="B180" s="520"/>
      <c r="C180" s="411" t="str">
        <f>"LA SIERRA DE CÁDIZ ("&amp;K180&amp;" Localidades)…….……..El paro "&amp;IF(F180&gt;0,"SUBE",IF(F180&lt;0,"BAJA","NO VARIA"))</f>
        <v>LA SIERRA DE CÁDIZ (19 Localidades)…….……..El paro SUBE</v>
      </c>
      <c r="D180" s="505"/>
      <c r="E180" s="412"/>
      <c r="F180" s="497">
        <f>+SUMIF('VAR INTERMENSUAL-INTERANUAL'!$A$5:$A$49,"SIERRA DE CÁDIZ",ABSMENSUAL)</f>
        <v>445</v>
      </c>
      <c r="G180" s="498"/>
      <c r="H180" s="499">
        <f>F180/(SUMIF('VAR INTERMENSUAL-INTERANUAL'!$A$5:$A$49,"SIERRA DE CÁDIZ",'VAR INTERMENSUAL-INTERANUAL'!$D$5:$D$49))</f>
        <v>3.3781219160403858E-2</v>
      </c>
      <c r="I180" s="500"/>
      <c r="K180" s="86">
        <f>+COUNTIF('VAR INTERMENSUAL-INTERANUAL'!$A$5:$A$49,"SIERRA DE CÁDIZ")</f>
        <v>19</v>
      </c>
    </row>
    <row r="181" spans="1:11" ht="19.5" customHeight="1">
      <c r="A181" s="521"/>
      <c r="B181" s="522"/>
      <c r="C181" s="417" t="str">
        <f>"LA JANDA ("&amp;K181&amp;" Localidades)……….…..El paro "&amp;IF(F181&gt;0,"SUBE",IF(F181&lt;0,"BAJA","NO VARIA"))</f>
        <v>LA JANDA (8 Localidades)……….…..El paro BAJA</v>
      </c>
      <c r="D181" s="506"/>
      <c r="E181" s="418"/>
      <c r="F181" s="510">
        <f>+SUMIF('VAR INTERMENSUAL-INTERANUAL'!$A$5:$A$49,"JANDA",ABSMENSUAL)</f>
        <v>-236</v>
      </c>
      <c r="G181" s="511"/>
      <c r="H181" s="512">
        <f>F181/(SUMIF('VAR INTERMENSUAL-INTERANUAL'!$A$5:$A$49,"JANDA",'VAR INTERMENSUAL-INTERANUAL'!$D$5:$D$49))</f>
        <v>-1.7954960438222763E-2</v>
      </c>
      <c r="I181" s="513"/>
      <c r="K181" s="86">
        <f>+COUNTIF('VAR INTERMENSUAL-INTERANUAL'!$A$5:$A$49,"JANDA")</f>
        <v>8</v>
      </c>
    </row>
    <row r="182" spans="1:11" ht="19.5" customHeight="1">
      <c r="A182" s="521"/>
      <c r="B182" s="522"/>
      <c r="C182" s="417" t="str">
        <f>"CAMPO DE GIBRALTAR ("&amp;K182&amp;" Localidades)……….…..El paro "&amp;IF(F182&gt;0,"SUBE",IF(F182&lt;0,"BAJA","NO VARIA"))</f>
        <v>CAMPO DE GIBRALTAR (8 Localidades)……….…..El paro BAJA</v>
      </c>
      <c r="D182" s="506"/>
      <c r="E182" s="418"/>
      <c r="F182" s="510">
        <f>+SUMIF('VAR INTERMENSUAL-INTERANUAL'!$A$5:$A$49,"CAMPO DE GIBRALTAR",ABSMENSUAL)</f>
        <v>-182</v>
      </c>
      <c r="G182" s="511"/>
      <c r="H182" s="512">
        <f>F182/(SUMIF('VAR INTERMENSUAL-INTERANUAL'!$A$5:$A$49,"CAMPO DE GIBRALTAR",'VAR INTERMENSUAL-INTERANUAL'!$D$5:$D$49))</f>
        <v>-5.2784222737819022E-3</v>
      </c>
      <c r="I182" s="513"/>
      <c r="K182" s="86">
        <f>+COUNTIF('VAR INTERMENSUAL-INTERANUAL'!$A$5:$A$49,"CAMPO DE GIBRALTAR")</f>
        <v>8</v>
      </c>
    </row>
    <row r="183" spans="1:11" ht="19.5" customHeight="1">
      <c r="A183" s="521"/>
      <c r="B183" s="522"/>
      <c r="C183" s="417" t="str">
        <f>"JEREZ-COSTA NOROESTE ("&amp;K183&amp;" Localidades)……...……El paro "&amp;IF(F183&gt;0,"SUBE",IF(F183&lt;0,"BAJA","NO VARIA"))</f>
        <v>JEREZ-COSTA NOROESTE (5 Localidades)……...……El paro SUBE</v>
      </c>
      <c r="D183" s="506"/>
      <c r="E183" s="418"/>
      <c r="F183" s="510">
        <f>+SUMIF('VAR INTERMENSUAL-INTERANUAL'!$A$5:$A$49,"JEREZ-COSTA NOROESTE",ABSMENSUAL)</f>
        <v>540</v>
      </c>
      <c r="G183" s="511"/>
      <c r="H183" s="512">
        <f>F183/(SUMIF('VAR INTERMENSUAL-INTERANUAL'!$A$5:$A$49,"JEREZ-COSTA NOROESTE",'VAR INTERMENSUAL-INTERANUAL'!$D$5:$D$49))</f>
        <v>1.2509555910765168E-2</v>
      </c>
      <c r="I183" s="513"/>
      <c r="K183" s="86">
        <f>+COUNTIF('VAR INTERMENSUAL-INTERANUAL'!$A$5:$A$49,"JEREZ-COSTA NOROESTE")</f>
        <v>5</v>
      </c>
    </row>
    <row r="184" spans="1:11" ht="19.5" customHeight="1" thickBot="1">
      <c r="A184" s="523"/>
      <c r="B184" s="524"/>
      <c r="C184" s="422" t="str">
        <f>"BAHÍA DE CÁDIZ ("&amp;K184&amp;" Localidades)…….….…El paro "&amp;IF(F184&gt;0,"SUBE",IF(F184&lt;0,"BAJA","NO VARIA"))</f>
        <v>BAHÍA DE CÁDIZ (5 Localidades)…….….…El paro SUBE</v>
      </c>
      <c r="D184" s="507"/>
      <c r="E184" s="423"/>
      <c r="F184" s="514">
        <f>+SUMIF('VAR INTERMENSUAL-INTERANUAL'!$A$5:$A$49,"BAHÍA DE CÁDIZ",ABSMENSUAL)</f>
        <v>429</v>
      </c>
      <c r="G184" s="515"/>
      <c r="H184" s="516">
        <f>F184/(SUMIF('VAR INTERMENSUAL-INTERANUAL'!$A$5:$A$49,"BAHÍA DE CÁDIZ",'VAR INTERMENSUAL-INTERANUAL'!$D$5:$D$49))</f>
        <v>8.5184964555906351E-3</v>
      </c>
      <c r="I184" s="517"/>
      <c r="K184" s="87">
        <f>+COUNTIF('VAR INTERMENSUAL-INTERANUAL'!$A$5:$A$49,"BAHÍA DE CÁDIZ")</f>
        <v>5</v>
      </c>
    </row>
    <row r="185" spans="1:11" ht="12.75" customHeight="1" thickTop="1">
      <c r="K185" s="83"/>
    </row>
    <row r="186" spans="1:11" ht="18">
      <c r="A186" s="471" t="s">
        <v>88</v>
      </c>
      <c r="B186" s="472"/>
      <c r="C186" s="508" t="s">
        <v>89</v>
      </c>
      <c r="D186" s="463">
        <f>SUM(K180:K184)</f>
        <v>45</v>
      </c>
      <c r="E186" s="467" t="str">
        <f>+IF(F187&gt;0,"SUBE",IF(F187&lt;0,"BAJA","NO VARIA"))</f>
        <v>SUBE</v>
      </c>
      <c r="F186" s="404" t="s">
        <v>69</v>
      </c>
      <c r="G186" s="404"/>
      <c r="H186" s="404" t="s">
        <v>70</v>
      </c>
      <c r="I186" s="410"/>
    </row>
    <row r="187" spans="1:11" ht="19.5" customHeight="1" thickBot="1">
      <c r="A187" s="476"/>
      <c r="B187" s="478"/>
      <c r="C187" s="509"/>
      <c r="D187" s="465"/>
      <c r="E187" s="468"/>
      <c r="F187" s="451">
        <f>SUM(F180:G184)</f>
        <v>996</v>
      </c>
      <c r="G187" s="452"/>
      <c r="H187" s="449">
        <f>+F187/'VAR INTERMENSUAL-INTERANUAL'!D50</f>
        <v>6.453912198282845E-3</v>
      </c>
      <c r="I187" s="450"/>
    </row>
    <row r="188" spans="1:11" ht="15.75" thickTop="1"/>
    <row r="192" spans="1:11">
      <c r="G192" s="80"/>
    </row>
  </sheetData>
  <sheetProtection password="D3D2" sheet="1" objects="1" scenarios="1"/>
  <mergeCells count="188">
    <mergeCell ref="A48:I48"/>
    <mergeCell ref="C180:E180"/>
    <mergeCell ref="C181:E181"/>
    <mergeCell ref="C182:E182"/>
    <mergeCell ref="C183:E183"/>
    <mergeCell ref="C184:E184"/>
    <mergeCell ref="A186:B187"/>
    <mergeCell ref="C186:C187"/>
    <mergeCell ref="D186:D187"/>
    <mergeCell ref="E186:E187"/>
    <mergeCell ref="F186:G186"/>
    <mergeCell ref="H186:I186"/>
    <mergeCell ref="F187:G187"/>
    <mergeCell ref="H187:I187"/>
    <mergeCell ref="F183:G183"/>
    <mergeCell ref="H183:I183"/>
    <mergeCell ref="F184:G184"/>
    <mergeCell ref="H184:I184"/>
    <mergeCell ref="F181:G181"/>
    <mergeCell ref="H181:I181"/>
    <mergeCell ref="F182:G182"/>
    <mergeCell ref="H182:I182"/>
    <mergeCell ref="A179:E179"/>
    <mergeCell ref="A180:B184"/>
    <mergeCell ref="A61:A63"/>
    <mergeCell ref="A67:A69"/>
    <mergeCell ref="A64:A66"/>
    <mergeCell ref="D108:E108"/>
    <mergeCell ref="F179:G179"/>
    <mergeCell ref="H179:I179"/>
    <mergeCell ref="F180:G180"/>
    <mergeCell ref="H180:I180"/>
    <mergeCell ref="F108:G108"/>
    <mergeCell ref="H108:I108"/>
    <mergeCell ref="A107:C108"/>
    <mergeCell ref="A136:E136"/>
    <mergeCell ref="F136:G136"/>
    <mergeCell ref="H136:I136"/>
    <mergeCell ref="A119:A121"/>
    <mergeCell ref="A116:A118"/>
    <mergeCell ref="A113:A115"/>
    <mergeCell ref="B110:E110"/>
    <mergeCell ref="A111:I111"/>
    <mergeCell ref="F110:I110"/>
    <mergeCell ref="D107:E107"/>
    <mergeCell ref="F107:G107"/>
    <mergeCell ref="H107:I107"/>
    <mergeCell ref="A147:A149"/>
    <mergeCell ref="H40:I40"/>
    <mergeCell ref="F41:G41"/>
    <mergeCell ref="H41:I41"/>
    <mergeCell ref="A40:E40"/>
    <mergeCell ref="H42:I42"/>
    <mergeCell ref="H43:I43"/>
    <mergeCell ref="H44:I44"/>
    <mergeCell ref="H45:I45"/>
    <mergeCell ref="F42:G42"/>
    <mergeCell ref="F43:G43"/>
    <mergeCell ref="F44:G44"/>
    <mergeCell ref="F45:G45"/>
    <mergeCell ref="H60:I60"/>
    <mergeCell ref="B71:C71"/>
    <mergeCell ref="D71:E71"/>
    <mergeCell ref="F71:G71"/>
    <mergeCell ref="H71:I71"/>
    <mergeCell ref="B82:C82"/>
    <mergeCell ref="D82:E82"/>
    <mergeCell ref="F82:G82"/>
    <mergeCell ref="H82:I82"/>
    <mergeCell ref="A5:D6"/>
    <mergeCell ref="E5:E6"/>
    <mergeCell ref="A22:D23"/>
    <mergeCell ref="E22:E23"/>
    <mergeCell ref="A100:A102"/>
    <mergeCell ref="A97:A99"/>
    <mergeCell ref="D42:E42"/>
    <mergeCell ref="D43:E43"/>
    <mergeCell ref="D44:E44"/>
    <mergeCell ref="D45:E45"/>
    <mergeCell ref="A41:C45"/>
    <mergeCell ref="A81:I81"/>
    <mergeCell ref="A78:A80"/>
    <mergeCell ref="A72:A74"/>
    <mergeCell ref="A56:A58"/>
    <mergeCell ref="A53:A55"/>
    <mergeCell ref="F93:G93"/>
    <mergeCell ref="H93:I93"/>
    <mergeCell ref="B60:C60"/>
    <mergeCell ref="D60:E60"/>
    <mergeCell ref="B93:C93"/>
    <mergeCell ref="D93:E93"/>
    <mergeCell ref="A50:A52"/>
    <mergeCell ref="F60:G60"/>
    <mergeCell ref="H6:I6"/>
    <mergeCell ref="F6:G6"/>
    <mergeCell ref="A27:A29"/>
    <mergeCell ref="A33:A35"/>
    <mergeCell ref="A30:A32"/>
    <mergeCell ref="D41:E41"/>
    <mergeCell ref="A106:E106"/>
    <mergeCell ref="F106:G106"/>
    <mergeCell ref="F40:G40"/>
    <mergeCell ref="A94:A96"/>
    <mergeCell ref="A70:I70"/>
    <mergeCell ref="A92:I92"/>
    <mergeCell ref="A89:A91"/>
    <mergeCell ref="A86:A88"/>
    <mergeCell ref="A83:A85"/>
    <mergeCell ref="A75:A77"/>
    <mergeCell ref="B47:E47"/>
    <mergeCell ref="F47:I47"/>
    <mergeCell ref="B49:C49"/>
    <mergeCell ref="D49:E49"/>
    <mergeCell ref="F49:G49"/>
    <mergeCell ref="H49:I49"/>
    <mergeCell ref="H106:I106"/>
    <mergeCell ref="A59:I59"/>
    <mergeCell ref="D1:H1"/>
    <mergeCell ref="B8:E8"/>
    <mergeCell ref="F8:I8"/>
    <mergeCell ref="A16:A18"/>
    <mergeCell ref="A13:A15"/>
    <mergeCell ref="A10:A12"/>
    <mergeCell ref="A8:A9"/>
    <mergeCell ref="A25:A26"/>
    <mergeCell ref="B25:E25"/>
    <mergeCell ref="F25:I25"/>
    <mergeCell ref="B9:C9"/>
    <mergeCell ref="D9:E9"/>
    <mergeCell ref="F9:G9"/>
    <mergeCell ref="H9:I9"/>
    <mergeCell ref="B26:C26"/>
    <mergeCell ref="D26:E26"/>
    <mergeCell ref="F26:G26"/>
    <mergeCell ref="H26:I26"/>
    <mergeCell ref="F22:G22"/>
    <mergeCell ref="H22:I22"/>
    <mergeCell ref="F23:G23"/>
    <mergeCell ref="H23:I23"/>
    <mergeCell ref="F5:G5"/>
    <mergeCell ref="H5:I5"/>
    <mergeCell ref="A144:A146"/>
    <mergeCell ref="B141:E141"/>
    <mergeCell ref="A122:I122"/>
    <mergeCell ref="A130:A132"/>
    <mergeCell ref="A127:A129"/>
    <mergeCell ref="A124:A126"/>
    <mergeCell ref="A142:I142"/>
    <mergeCell ref="F141:I141"/>
    <mergeCell ref="D137:E137"/>
    <mergeCell ref="F137:G137"/>
    <mergeCell ref="H137:I137"/>
    <mergeCell ref="D138:E138"/>
    <mergeCell ref="F138:G138"/>
    <mergeCell ref="H138:I138"/>
    <mergeCell ref="D139:E139"/>
    <mergeCell ref="F139:G139"/>
    <mergeCell ref="H139:I139"/>
    <mergeCell ref="A137:C139"/>
    <mergeCell ref="B123:C123"/>
    <mergeCell ref="D123:E123"/>
    <mergeCell ref="F123:G123"/>
    <mergeCell ref="H123:I123"/>
    <mergeCell ref="B143:C143"/>
    <mergeCell ref="D143:E143"/>
    <mergeCell ref="A172:A174"/>
    <mergeCell ref="A169:A171"/>
    <mergeCell ref="A166:A168"/>
    <mergeCell ref="A153:I153"/>
    <mergeCell ref="A161:A163"/>
    <mergeCell ref="A158:A160"/>
    <mergeCell ref="A155:A157"/>
    <mergeCell ref="A164:I164"/>
    <mergeCell ref="A150:A152"/>
    <mergeCell ref="B165:C165"/>
    <mergeCell ref="D165:E165"/>
    <mergeCell ref="F165:G165"/>
    <mergeCell ref="H165:I165"/>
    <mergeCell ref="F143:G143"/>
    <mergeCell ref="H143:I143"/>
    <mergeCell ref="B154:C154"/>
    <mergeCell ref="D154:E154"/>
    <mergeCell ref="F154:G154"/>
    <mergeCell ref="H154:I154"/>
    <mergeCell ref="B112:C112"/>
    <mergeCell ref="D112:E112"/>
    <mergeCell ref="F112:G112"/>
    <mergeCell ref="H112:I112"/>
  </mergeCells>
  <printOptions horizontalCentered="1"/>
  <pageMargins left="0.62992125984251968" right="0.62992125984251968" top="0.35433070866141736" bottom="0.55118110236220474" header="0" footer="0.31496062992125984"/>
  <pageSetup paperSize="9" scale="46" fitToHeight="2" orientation="portrait" r:id="rId1"/>
  <headerFooter differentFirst="1">
    <oddFooter>&amp;L&amp;"Rockwell,Normal"&amp;14&amp;K04-018Fuentes: Servicio Público de Empleo Estatal
Informe elaborado por el IEDT. Diputación de Cádiz&amp;R&amp;"Rockwell,Normal"&amp;14&amp;K04-020 8 de 8</oddFooter>
    <firstFooter>&amp;L&amp;"Rockwell,Normal"&amp;14&amp;K04-016Fuentes: Servicio Público de Empleo Estatal
Informe elaborado por el IEDT. Diputación de Cádiz&amp;R&amp;"Rockwell,Normal"&amp;14&amp;K04-023 7 de 8</firstFooter>
  </headerFooter>
  <rowBreaks count="1" manualBreakCount="1">
    <brk id="10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48</vt:i4>
      </vt:variant>
    </vt:vector>
  </HeadingPairs>
  <TitlesOfParts>
    <vt:vector size="54" baseType="lpstr">
      <vt:lpstr>PORTADA </vt:lpstr>
      <vt:lpstr>VAR INTERMENSUAL-INTERANUAL</vt:lpstr>
      <vt:lpstr>PARO POR SECTORES</vt:lpstr>
      <vt:lpstr>PARO SEXO</vt:lpstr>
      <vt:lpstr>PARO EDAD</vt:lpstr>
      <vt:lpstr>RESUMEN</vt:lpstr>
      <vt:lpstr>ABSANUAL</vt:lpstr>
      <vt:lpstr>ABSMENSUAL</vt:lpstr>
      <vt:lpstr>AGRI.ABS</vt:lpstr>
      <vt:lpstr>AGRI.REV</vt:lpstr>
      <vt:lpstr>AÑO.ANT</vt:lpstr>
      <vt:lpstr>'PARO EDAD'!Área_de_impresión</vt:lpstr>
      <vt:lpstr>'PARO POR SECTORES'!Área_de_impresión</vt:lpstr>
      <vt:lpstr>'PARO SEXO'!Área_de_impresión</vt:lpstr>
      <vt:lpstr>'PORTADA '!Área_de_impresión</vt:lpstr>
      <vt:lpstr>RESUMEN!Área_de_impresión</vt:lpstr>
      <vt:lpstr>'VAR INTERMENSUAL-INTERANUAL'!Área_de_impresión</vt:lpstr>
      <vt:lpstr>COMARCAS</vt:lpstr>
      <vt:lpstr>CONSTR.ABS</vt:lpstr>
      <vt:lpstr>CONSTR.REV</vt:lpstr>
      <vt:lpstr>ENTRE25.44.ABS</vt:lpstr>
      <vt:lpstr>ENTRE25.44.REV</vt:lpstr>
      <vt:lpstr>FECHA.ACT</vt:lpstr>
      <vt:lpstr>HOMBRES.ABS</vt:lpstr>
      <vt:lpstr>HOMBRES.REV</vt:lpstr>
      <vt:lpstr>INDUS.ABS</vt:lpstr>
      <vt:lpstr>INDUS.REV</vt:lpstr>
      <vt:lpstr>MATRIZ</vt:lpstr>
      <vt:lpstr>MAYOR45.ABS</vt:lpstr>
      <vt:lpstr>MAYOR45.REV</vt:lpstr>
      <vt:lpstr>MENOR25.REV</vt:lpstr>
      <vt:lpstr>MENOS25.ABS</vt:lpstr>
      <vt:lpstr>MES.ANT</vt:lpstr>
      <vt:lpstr>MESANTERIOR</vt:lpstr>
      <vt:lpstr>MESAÑOANTERIOR</vt:lpstr>
      <vt:lpstr>MUJERES.ABS</vt:lpstr>
      <vt:lpstr>MUJERES.REV</vt:lpstr>
      <vt:lpstr>MUNICIP.EDAD</vt:lpstr>
      <vt:lpstr>MUNICIP.SECT</vt:lpstr>
      <vt:lpstr>MUNICIP.SEXO</vt:lpstr>
      <vt:lpstr>MUNICIPIOS</vt:lpstr>
      <vt:lpstr>POBACTUAL</vt:lpstr>
      <vt:lpstr>PRIMUNICIP</vt:lpstr>
      <vt:lpstr>RANGO.EDAD</vt:lpstr>
      <vt:lpstr>RANGO.SEXO</vt:lpstr>
      <vt:lpstr>RANGOS</vt:lpstr>
      <vt:lpstr>RANGOS.SECT</vt:lpstr>
      <vt:lpstr>RELATANUAL</vt:lpstr>
      <vt:lpstr>RELATMENSUAL</vt:lpstr>
      <vt:lpstr>SEA.ABS</vt:lpstr>
      <vt:lpstr>SEA.REV</vt:lpstr>
      <vt:lpstr>SERVI.ABS</vt:lpstr>
      <vt:lpstr>SERVI.REV</vt:lpstr>
      <vt:lpstr>RESUMEN!Títulos_a_imprimir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jlmena</dc:creator>
  <cp:lastModifiedBy>mcrodriguezm</cp:lastModifiedBy>
  <cp:lastPrinted>2022-03-02T08:38:17Z</cp:lastPrinted>
  <dcterms:created xsi:type="dcterms:W3CDTF">2020-02-20T08:35:23Z</dcterms:created>
  <dcterms:modified xsi:type="dcterms:W3CDTF">2022-04-04T07:45:55Z</dcterms:modified>
</cp:coreProperties>
</file>